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2.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DieseArbeitsmappe"/>
  <mc:AlternateContent xmlns:mc="http://schemas.openxmlformats.org/markup-compatibility/2006">
    <mc:Choice Requires="x15">
      <x15ac:absPath xmlns:x15ac="http://schemas.microsoft.com/office/spreadsheetml/2010/11/ac" url="C:\Users\Silke\Documents\Silke\MANZ\Belegkiste\Belegkiste 1+2 Überarbeitung 2020\Beispiele fertig\"/>
    </mc:Choice>
  </mc:AlternateContent>
  <workbookProtection workbookAlgorithmName="SHA-512" workbookHashValue="pA1KFg5/+6zP6UH+b2oDenmcnpO1vimPhJixEqQBS9ZBQLK4sAOC9ReFQcxc3uWPvWGR/rbHUsesO9UCiYbuvw==" workbookSaltValue="quKSnhEoPuWUQzJNetORcQ==" workbookSpinCount="100000" lockStructure="1"/>
  <bookViews>
    <workbookView xWindow="-15" yWindow="8460" windowWidth="15330" windowHeight="1170" tabRatio="868"/>
  </bookViews>
  <sheets>
    <sheet name="Belegverwaltung" sheetId="9" r:id="rId1"/>
    <sheet name="EMS" sheetId="15" r:id="rId2"/>
    <sheet name="Trafik" sheetId="18" r:id="rId3"/>
    <sheet name="Kassa EIN-AUS" sheetId="19" r:id="rId4"/>
    <sheet name="Paper Diskont" sheetId="46" r:id="rId5"/>
    <sheet name="Bank EIN-AUS" sheetId="50" r:id="rId6"/>
    <sheet name="ZA allg." sheetId="51" r:id="rId7"/>
    <sheet name="Maut" sheetId="74" r:id="rId8"/>
    <sheet name="Kassablock" sheetId="75" r:id="rId9"/>
    <sheet name="Logoübersicht" sheetId="82" r:id="rId10"/>
    <sheet name="Hilfe" sheetId="84" r:id="rId11"/>
    <sheet name="Kontakt und Impressum" sheetId="57" r:id="rId12"/>
    <sheet name="intern_Datenblatt" sheetId="17" state="veryHidden" r:id="rId13"/>
    <sheet name="intern_DropDown" sheetId="16" state="veryHidden" r:id="rId14"/>
    <sheet name="intern_Zahlen in Text umwandeln" sheetId="22" state="veryHidden" r:id="rId15"/>
    <sheet name="intern_Tabelle2" sheetId="36" state="veryHidden" r:id="rId16"/>
    <sheet name="intern_BM_HAKLE2" sheetId="65" state="veryHidden" r:id="rId17"/>
    <sheet name="intern_Belegexport" sheetId="83" state="veryHidden" r:id="rId18"/>
  </sheets>
  <definedNames>
    <definedName name="Belegart_AR">intern_DropDown!$J$2:$J$3</definedName>
    <definedName name="Belegart_ER">intern_DropDown!$I$2:$I$3</definedName>
    <definedName name="Belegauswahl">intern_DropDown!$G$2:$G$3</definedName>
    <definedName name="Belegauswahl_Anz.">intern_DropDown!$R$2:$R$3</definedName>
    <definedName name="Berichtsart">intern_DropDown!$O$2:$O$3</definedName>
    <definedName name="Bezugsart_LV">intern_DropDown!$S$2:$S$3</definedName>
    <definedName name="Bild_ER_EU">INDIRECT("intern_Tabelle2!B"&amp;MATCH(intern_Tabelle2!$G$23,intern_Tabelle2!$A:$A,0))</definedName>
    <definedName name="Bild_ER_Import">INDIRECT("intern_Tabelle2!B"&amp;MATCH(intern_Tabelle2!$G$24,intern_Tabelle2!$A:$A,0))</definedName>
    <definedName name="Bild_Musterbeleg_blau">INDIRECT("intern_Tabelle2!B"&amp;MATCH(intern_Tabelle2!$L$1,intern_Tabelle2!$L:$L,0))</definedName>
    <definedName name="Bild_Namen">intern_Tabelle2!$A$1:$A$5</definedName>
    <definedName name="Bild_Restaurant_FW">INDIRECT("intern_Tabelle2!B"&amp;MATCH(intern_Tabelle2!$G$25,intern_Tabelle2!$A:$A,0))</definedName>
    <definedName name="Bild1">INDIRECT("intern_Tabelle2!B"&amp;MATCH(intern_Tabelle2!$G$1,intern_Tabelle2!$A:$A,0))</definedName>
    <definedName name="Bild10">INDIRECT("intern_Tabelle2!B"&amp;MATCH(intern_Tabelle2!$G$10,intern_Tabelle2!$A:$A,0))</definedName>
    <definedName name="Bild11">INDIRECT("intern_Tabelle2!B"&amp;MATCH(intern_Tabelle2!$G$11,intern_Tabelle2!$A:$A,0))</definedName>
    <definedName name="Bild12">INDIRECT("intern_Tabelle2!B"&amp;MATCH(intern_Tabelle2!$G$12,intern_Tabelle2!$A:$A,0))</definedName>
    <definedName name="Bild13">INDIRECT("intern_Tabelle2!B"&amp;MATCH(intern_Tabelle2!$G$13,intern_Tabelle2!$A:$A,0))</definedName>
    <definedName name="Bild14">INDIRECT("intern_Tabelle2!B"&amp;MATCH(intern_Tabelle2!$G$14,intern_Tabelle2!$A:$A,0))</definedName>
    <definedName name="Bild15">INDIRECT("intern_Tabelle2!B"&amp;MATCH(intern_Tabelle2!$G$15,intern_Tabelle2!$A:$A,0))</definedName>
    <definedName name="Bild2">INDIRECT("intern_Tabelle2!B"&amp;MATCH(intern_Tabelle2!$G$2,intern_Tabelle2!$A:$A,0))</definedName>
    <definedName name="Bild3">INDIRECT("intern_Tabelle2!B"&amp;MATCH(intern_Tabelle2!$G$3,intern_Tabelle2!$A:$A,0))</definedName>
    <definedName name="Bild4">INDIRECT("intern_Tabelle2!B"&amp;MATCH(intern_Tabelle2!$G$4,intern_Tabelle2!$A:$A,0))</definedName>
    <definedName name="Bild5">INDIRECT("intern_Tabelle2!B"&amp;MATCH(intern_Tabelle2!$G$5,intern_Tabelle2!$A:$A,0))</definedName>
    <definedName name="Bild6">INDIRECT("intern_Tabelle2!B"&amp;MATCH(intern_Tabelle2!$G$6,intern_Tabelle2!$A:$A,0))</definedName>
    <definedName name="Bild7">INDIRECT("intern_Tabelle2!B"&amp;MATCH(intern_Tabelle2!$G$7,intern_Tabelle2!$A:$A,0))</definedName>
    <definedName name="Bild8">INDIRECT("intern_Tabelle2!B"&amp;MATCH(intern_Tabelle2!$G$8,intern_Tabelle2!$A:$A,0))</definedName>
    <definedName name="Bild9">INDIRECT("intern_Tabelle2!B"&amp;MATCH(intern_Tabelle2!$G$9,intern_Tabelle2!$A:$A,0))</definedName>
    <definedName name="_xlnm.Print_Area" localSheetId="5">'Bank EIN-AUS'!$A$1:$H$16</definedName>
    <definedName name="_xlnm.Print_Area" localSheetId="0">Belegverwaltung!$D$5:$E$35</definedName>
    <definedName name="_xlnm.Print_Area" localSheetId="1">EMS!$B$2:$H$38</definedName>
    <definedName name="_xlnm.Print_Area" localSheetId="10">Hilfe!$A$2:$E$28</definedName>
    <definedName name="_xlnm.Print_Area" localSheetId="3">'Kassa EIN-AUS'!$A$1:$F$20</definedName>
    <definedName name="_xlnm.Print_Area" localSheetId="8">Kassablock!$B$2:$G$29</definedName>
    <definedName name="_xlnm.Print_Area" localSheetId="11">'Kontakt und Impressum'!$A$1:$E$29</definedName>
    <definedName name="_xlnm.Print_Area" localSheetId="9">Logoübersicht!$B$2:$K$41</definedName>
    <definedName name="_xlnm.Print_Area" localSheetId="7">Maut!$B$2:$G$30</definedName>
    <definedName name="_xlnm.Print_Area" localSheetId="4">'Paper Diskont'!$B$2:$H$41</definedName>
    <definedName name="_xlnm.Print_Area" localSheetId="2">INDIRECT(Trafik!$Q$10)</definedName>
    <definedName name="_xlnm.Print_Area" localSheetId="6">'ZA allg.'!$B$2:$J$26</definedName>
    <definedName name="Listensymbol">INDIRECT("intern_Datenblatt!$D$6")</definedName>
    <definedName name="Logoauswahl01">INDIRECT("intern_Tabelle2!B"&amp;MATCH(intern_Tabelle2!$G$101,intern_Tabelle2!$A:$A,0))</definedName>
    <definedName name="Logoauswahl02">INDIRECT("intern_Tabelle2!B"&amp;MATCH(intern_Tabelle2!$G$102,intern_Tabelle2!$A:$A,0))</definedName>
    <definedName name="Logoauswahl03">INDIRECT("intern_Tabelle2!B"&amp;MATCH(intern_Tabelle2!$G$103,intern_Tabelle2!$A:$A,0))</definedName>
    <definedName name="Logoauswahl04">INDIRECT("intern_Tabelle2!B"&amp;MATCH(intern_Tabelle2!$G$104,intern_Tabelle2!$A:$A,0))</definedName>
    <definedName name="Logoauswahl05">INDIRECT("intern_Tabelle2!B"&amp;MATCH(intern_Tabelle2!$G$105,intern_Tabelle2!$A:$A,0))</definedName>
    <definedName name="Logoauswahl06">INDIRECT("intern_Tabelle2!B"&amp;MATCH(intern_Tabelle2!$G$106,intern_Tabelle2!$A:$A,0))</definedName>
    <definedName name="Logoauswahl07">INDIRECT("intern_Tabelle2!B"&amp;MATCH(intern_Tabelle2!$G$107,intern_Tabelle2!$A:$A,0))</definedName>
    <definedName name="Logoauswahl08">INDIRECT("intern_Tabelle2!B"&amp;MATCH(intern_Tabelle2!$G$108,intern_Tabelle2!$A:$A,0))</definedName>
    <definedName name="Logoauswahl09">INDIRECT("intern_Tabelle2!B"&amp;MATCH(intern_Tabelle2!$G$109,intern_Tabelle2!$A:$A,0))</definedName>
    <definedName name="Logoauswahl10">INDIRECT("intern_Tabelle2!B"&amp;MATCH(intern_Tabelle2!$G$110,intern_Tabelle2!$A:$A,0))</definedName>
    <definedName name="Logoauswahl11">INDIRECT("intern_Tabelle2!B"&amp;MATCH(intern_Tabelle2!$G$111,intern_Tabelle2!$A:$A,0))</definedName>
    <definedName name="Logoauswahl12">INDIRECT("intern_Tabelle2!B"&amp;MATCH(intern_Tabelle2!$G$112,intern_Tabelle2!$A:$A,0))</definedName>
    <definedName name="Logoauswahl13">INDIRECT("intern_Tabelle2!B"&amp;MATCH(intern_Tabelle2!$G$113,intern_Tabelle2!$A:$A,0))</definedName>
    <definedName name="Logoauswahl14">INDIRECT("intern_Tabelle2!B"&amp;MATCH(intern_Tabelle2!$G$114,intern_Tabelle2!$A:$A,0))</definedName>
    <definedName name="Logoauswahl15">INDIRECT("intern_Tabelle2!B"&amp;MATCH(intern_Tabelle2!$G$115,intern_Tabelle2!$A:$A,0))</definedName>
    <definedName name="Logoauswahl16">INDIRECT("intern_Tabelle2!B"&amp;MATCH(intern_Tabelle2!$G$116,intern_Tabelle2!$A:$A,0))</definedName>
    <definedName name="Logoauswahl17">INDIRECT("intern_Tabelle2!B"&amp;MATCH(intern_Tabelle2!$G$117,intern_Tabelle2!$A:$A,0))</definedName>
    <definedName name="Logoauswahl18">INDIRECT("intern_Tabelle2!B"&amp;MATCH(intern_Tabelle2!$G$118,intern_Tabelle2!$A:$A,0))</definedName>
    <definedName name="Logoauswahl19">INDIRECT("intern_Tabelle2!B"&amp;MATCH(intern_Tabelle2!$G$119,intern_Tabelle2!$A:$A,0))</definedName>
    <definedName name="Logoauswahl20">INDIRECT("intern_Tabelle2!B"&amp;MATCH(intern_Tabelle2!$G$120,intern_Tabelle2!$A:$A,0))</definedName>
    <definedName name="Musterbelegauswahl">INDIRECT("intern_Tabelle2!N"&amp;MATCH(intern_Tabelle2!$S$3,intern_Tabelle2!$L:$L,0))</definedName>
    <definedName name="Privat">intern_DropDown!$K$2:$K$4</definedName>
    <definedName name="QR_Code_Anzeige">intern_DropDown!$T$2:$T$3</definedName>
    <definedName name="QRCode_Auswahl">INDIRECT("intern_Tabelle2!N"&amp;MATCH(intern_Tabelle2!$S$8,intern_Tabelle2!$L:$L,0))</definedName>
    <definedName name="QRCodeBaumarkt" comment="Auswahl Bar/Kartenzahlung">INDIRECT("intern_Tabelle2!N"&amp;MATCH(intern_Tabelle2!$P$24,intern_Tabelle2!$M:$M,0))</definedName>
    <definedName name="QRCodeBlumen" comment="Auswahl Bar/Kartenzahlung">INDIRECT("intern_Tabelle2!N"&amp;MATCH(intern_Tabelle2!$P$20,intern_Tabelle2!$M:$M,0))</definedName>
    <definedName name="QRCodeBüMa" comment="Auswahl Bar/Kartenzahlung">INDIRECT("intern_Tabelle2!N"&amp;MATCH(intern_Tabelle2!$P$15,intern_Tabelle2!$M:$M,0))</definedName>
    <definedName name="QRCodeEDV_Handel" comment="Auswahl Bar/Kartenzahlung">INDIRECT("intern_Tabelle2!N"&amp;MATCH(intern_Tabelle2!$P$29,intern_Tabelle2!$M:$M,0))</definedName>
    <definedName name="QRCodeElektrofachmarkt" comment="Auswahl Bar/Kartenzahlung">INDIRECT("intern_Tabelle2!N"&amp;MATCH(intern_Tabelle2!$P$22,intern_Tabelle2!$M:$M,0))</definedName>
    <definedName name="QRCodeGasthaus" comment="Auswahl Bar/Kartenzahlung">INDIRECT("intern_Tabelle2!N"&amp;MATCH(intern_Tabelle2!$P$26,intern_Tabelle2!$M:$M,0))</definedName>
    <definedName name="QRCodeGetränkehandel" comment="Auswahl Bar/Kartenzahlung">INDIRECT("intern_Tabelle2!N"&amp;MATCH(intern_Tabelle2!$P$34,intern_Tabelle2!$M:$M,0))</definedName>
    <definedName name="QRCodeHandyshop" comment="Auswahl Bar/Kartenzahlung">INDIRECT("intern_Tabelle2!N"&amp;MATCH(intern_Tabelle2!$P$28,intern_Tabelle2!$M:$M,0))</definedName>
    <definedName name="QRCodeHeizmaterial" comment="Auswahl Bar/Kartenzahlung">INDIRECT("intern_Tabelle2!N"&amp;MATCH(intern_Tabelle2!$P$30,intern_Tabelle2!$M:$M,0))</definedName>
    <definedName name="QRCodeHotel" comment="Auswahl Bar/Kartenzahlung">INDIRECT("intern_Tabelle2!N"&amp;MATCH(intern_Tabelle2!$P$19,intern_Tabelle2!$M:$M,0))</definedName>
    <definedName name="QRCodeKassenbon_Gutschein" comment="Auswahl Bar/Kartenzahlung">INDIRECT("intern_Tabelle2!N"&amp;MATCH(intern_Tabelle2!$P$33,intern_Tabelle2!$M:$M,0))</definedName>
    <definedName name="QRCodeKassenbon_RS">INDIRECT("intern_Tabelle2!N"&amp;MATCH(intern_Tabelle2!$P$32,intern_Tabelle2!$M:$M,0))</definedName>
    <definedName name="QRCodeKFZWerkstätte" comment="Auswahl Bar/Kartenzahlung">INDIRECT("intern_Tabelle2!N"&amp;MATCH(intern_Tabelle2!$P$25,intern_Tabelle2!$M:$M,0))</definedName>
    <definedName name="QRCodeMaut" comment="Auswahl Bar/Kartenzahlung">INDIRECT("intern_Tabelle2!N"&amp;MATCH(intern_Tabelle2!$P$27,intern_Tabelle2!$M:$M,0))</definedName>
    <definedName name="QRCodePaperDiskont" comment="Auswahl Bar/Kartenzahlung">INDIRECT("intern_Tabelle2!N"&amp;MATCH(intern_Tabelle2!$P$21,intern_Tabelle2!$M:$M,0))</definedName>
    <definedName name="QRCodeRestaurant" comment="Auswahl Bar/Kartenzahlung">INDIRECT("intern_Tabelle2!N"&amp;MATCH(intern_Tabelle2!$P$16,intern_Tabelle2!$M:$M,0))</definedName>
    <definedName name="QRCodeSupermarkt" comment="Auswahl Bar/Kartenzahlung">INDIRECT("intern_Tabelle2!N"&amp;MATCH(intern_Tabelle2!$P$23,intern_Tabelle2!$M:$M,0))</definedName>
    <definedName name="QRCodeTankstelle" comment="Auswahl Bar/Kartenzahlung">INDIRECT("intern_Tabelle2!N"&amp;MATCH(intern_Tabelle2!$P$18,intern_Tabelle2!$M:$M,0))</definedName>
    <definedName name="QRCodeTaxi_Registrierkasse" comment="Auswahl Bar/Kartenzahlung">INDIRECT("intern_Tabelle2!N"&amp;MATCH(intern_Tabelle2!$P$31,intern_Tabelle2!$M:$M,0))</definedName>
    <definedName name="QRCodeTischlerei" comment="Auswahl bei Bar/Kartenzahlung">INDIRECT("intern_Tabelle2!N"&amp;MATCH(intern_Tabelle2!$P$13,intern_Tabelle2!$M:$M,0))</definedName>
    <definedName name="QRCodeTrafik" comment="Auswahl Bar/Kartenzahlung">INDIRECT("intern_Tabelle2!N"&amp;MATCH(intern_Tabelle2!$P$17,intern_Tabelle2!$M:$M,0))</definedName>
    <definedName name="QRCodeTransport" comment="Auswahl bei Bar/Kartenzahlung">INDIRECT("intern_Tabelle2!N"&amp;MATCH(intern_Tabelle2!$P$14,intern_Tabelle2!$M:$M,0))</definedName>
    <definedName name="QRCodeWEK_Gastro" comment="Auswahl Bar/Kartenzahlung">INDIRECT("intern_Tabelle2!N"&amp;MATCH(intern_Tabelle2!$P$35,intern_Tabelle2!$M:$M,0))</definedName>
    <definedName name="Tageslosung_Auswahl">intern_DropDown!$H$2:$H$6</definedName>
    <definedName name="TST">intern_DropDown!$P$2:$P$8</definedName>
    <definedName name="USt_Ausweis">intern_DropDown!$M$2:$M$3</definedName>
    <definedName name="USt_Gasthaus">intern_DropDown!$N$2:$N$3</definedName>
    <definedName name="USt_Hotel">intern_DropDown!$B$2:$B$4</definedName>
    <definedName name="USt_ohne_10">intern_DropDown!$D$2:$D$3</definedName>
    <definedName name="USt_Taxi">intern_DropDown!$C$2:$C$3</definedName>
    <definedName name="USt_vollständig">intern_DropDown!$A$2:$A$4</definedName>
    <definedName name="Zahlungsart">intern_DropDown!$E$2:$E$5</definedName>
    <definedName name="Zahlungsart_BK">intern_DropDown!$L$2:$L$3</definedName>
    <definedName name="Zahlungsarten_alle">intern_DropDown!$F$2:$F$7</definedName>
    <definedName name="Zahlungsarten_sofort" comment="ohne AUF ZIEL">intern_DropDown!$F$2:$F$6</definedName>
  </definedNames>
  <calcPr calcId="162913"/>
</workbook>
</file>

<file path=xl/calcChain.xml><?xml version="1.0" encoding="utf-8"?>
<calcChain xmlns="http://schemas.openxmlformats.org/spreadsheetml/2006/main">
  <c r="J26" i="75" l="1"/>
  <c r="L9" i="75" l="1"/>
  <c r="J10" i="74"/>
  <c r="M18" i="51"/>
  <c r="K6" i="50"/>
  <c r="K10" i="46"/>
  <c r="I12" i="19"/>
  <c r="M9" i="18"/>
  <c r="K9" i="15"/>
  <c r="M23" i="51" l="1"/>
  <c r="M16" i="51"/>
  <c r="P35" i="36" l="1"/>
  <c r="P34" i="36" l="1"/>
  <c r="P33" i="36"/>
  <c r="P32" i="36"/>
  <c r="P31" i="36"/>
  <c r="P30" i="36" l="1"/>
  <c r="P29" i="36"/>
  <c r="P28" i="36"/>
  <c r="N11" i="74"/>
  <c r="P27" i="36" s="1"/>
  <c r="P26" i="36" l="1"/>
  <c r="P25" i="36" l="1"/>
  <c r="P24" i="36"/>
  <c r="P23" i="36"/>
  <c r="P22" i="36"/>
  <c r="O11" i="46"/>
  <c r="P21" i="36" s="1"/>
  <c r="P20" i="36"/>
  <c r="Q10" i="18"/>
  <c r="P19" i="36" l="1"/>
  <c r="P18" i="36"/>
  <c r="Q11" i="18"/>
  <c r="P17" i="36" s="1"/>
  <c r="P16" i="36" l="1"/>
  <c r="P15" i="36"/>
  <c r="P14" i="36" l="1"/>
  <c r="P13" i="36"/>
  <c r="G33" i="46" l="1"/>
  <c r="F7" i="46"/>
  <c r="C19" i="18"/>
  <c r="G9" i="18"/>
  <c r="M24" i="51" l="1"/>
  <c r="D33" i="46" l="1"/>
  <c r="M14" i="18" l="1"/>
  <c r="G25" i="36" l="1"/>
  <c r="G24" i="36" l="1"/>
  <c r="G23" i="36" l="1"/>
  <c r="G22" i="36" l="1"/>
  <c r="G21" i="36" l="1"/>
  <c r="G20" i="36" l="1"/>
  <c r="G19" i="36"/>
  <c r="L17" i="51" l="1"/>
  <c r="G18" i="36" l="1"/>
  <c r="G17" i="36" l="1"/>
  <c r="G16" i="36"/>
  <c r="O5" i="75" l="1"/>
  <c r="D4" i="51" l="1"/>
  <c r="E12" i="75" l="1"/>
  <c r="S8" i="36" l="1"/>
  <c r="S3" i="36"/>
  <c r="L19" i="51" l="1"/>
  <c r="J11" i="50" l="1"/>
  <c r="G11" i="36" l="1"/>
  <c r="G9" i="36"/>
  <c r="G14" i="36"/>
  <c r="G8" i="36"/>
  <c r="G10" i="36"/>
  <c r="G7" i="36"/>
  <c r="G6" i="36"/>
  <c r="G5" i="36"/>
  <c r="G4" i="36"/>
  <c r="G12" i="36"/>
  <c r="G3" i="36"/>
  <c r="G2" i="36"/>
  <c r="G1" i="36"/>
  <c r="G13" i="36" l="1"/>
  <c r="B9" i="84" l="1"/>
  <c r="B4" i="84"/>
  <c r="N5" i="74" l="1"/>
  <c r="O1" i="75"/>
  <c r="N1" i="74"/>
  <c r="P5" i="51"/>
  <c r="P1" i="51"/>
  <c r="M5" i="50"/>
  <c r="M1" i="50"/>
  <c r="O4" i="46"/>
  <c r="O1" i="46"/>
  <c r="V4" i="19" l="1"/>
  <c r="V1" i="19"/>
  <c r="Q5" i="18"/>
  <c r="Q1" i="18"/>
  <c r="M5" i="15"/>
  <c r="M1" i="15"/>
  <c r="M2" i="82" l="1"/>
  <c r="H2" i="57"/>
  <c r="M22" i="51" l="1"/>
  <c r="C3" i="18" l="1"/>
  <c r="J5" i="50" l="1"/>
  <c r="B21" i="22" l="1"/>
  <c r="C21" i="22" s="1"/>
  <c r="B20" i="22"/>
  <c r="F19" i="22"/>
  <c r="F21" i="22" s="1"/>
  <c r="G21" i="22" s="1"/>
  <c r="B19" i="22"/>
  <c r="C19" i="22" s="1"/>
  <c r="B18" i="22"/>
  <c r="C18" i="22" s="1"/>
  <c r="B17" i="22"/>
  <c r="B16" i="22"/>
  <c r="B15" i="22"/>
  <c r="C15" i="22" s="1"/>
  <c r="B14" i="22"/>
  <c r="C14" i="22" s="1"/>
  <c r="D14" i="22" s="1"/>
  <c r="G13" i="22"/>
  <c r="B13" i="22"/>
  <c r="C13" i="22" s="1"/>
  <c r="G12" i="22"/>
  <c r="B10" i="22"/>
  <c r="B23" i="22" s="1"/>
  <c r="C6" i="22"/>
  <c r="D27" i="75"/>
  <c r="C27" i="75"/>
  <c r="F22" i="75"/>
  <c r="E22" i="75"/>
  <c r="D22" i="75"/>
  <c r="C22" i="75"/>
  <c r="F21" i="75"/>
  <c r="E21" i="75"/>
  <c r="D21" i="75"/>
  <c r="C21" i="75"/>
  <c r="F20" i="75"/>
  <c r="E20" i="75"/>
  <c r="D20" i="75"/>
  <c r="C20" i="75"/>
  <c r="F19" i="75"/>
  <c r="E19" i="75"/>
  <c r="D19" i="75"/>
  <c r="C19" i="75"/>
  <c r="F18" i="75"/>
  <c r="E18" i="75"/>
  <c r="D18" i="75"/>
  <c r="C18" i="75"/>
  <c r="F17" i="75"/>
  <c r="E17" i="75"/>
  <c r="D17" i="75"/>
  <c r="C17" i="75"/>
  <c r="F16" i="75"/>
  <c r="E16" i="75"/>
  <c r="D16" i="75"/>
  <c r="C16" i="75"/>
  <c r="F15" i="75"/>
  <c r="E15" i="75"/>
  <c r="D15" i="75"/>
  <c r="C15" i="75"/>
  <c r="F14" i="75"/>
  <c r="E14" i="75"/>
  <c r="D14" i="75"/>
  <c r="C14" i="75"/>
  <c r="M13" i="75"/>
  <c r="K13" i="75"/>
  <c r="J13" i="75"/>
  <c r="F13" i="75"/>
  <c r="E13" i="75"/>
  <c r="D13" i="75"/>
  <c r="C13" i="75"/>
  <c r="F12" i="75"/>
  <c r="D12" i="75"/>
  <c r="C12" i="75"/>
  <c r="D11" i="75"/>
  <c r="J9" i="75"/>
  <c r="J8" i="75"/>
  <c r="C8" i="75" s="1"/>
  <c r="J7" i="75"/>
  <c r="C7" i="75" s="1"/>
  <c r="J6" i="75"/>
  <c r="C6" i="75"/>
  <c r="J5" i="75"/>
  <c r="C5" i="75"/>
  <c r="J4" i="75"/>
  <c r="J3" i="75"/>
  <c r="C3" i="75"/>
  <c r="J1" i="75"/>
  <c r="E20" i="74"/>
  <c r="D19" i="74"/>
  <c r="C19" i="74"/>
  <c r="D18" i="74"/>
  <c r="E17" i="74"/>
  <c r="E16" i="74"/>
  <c r="C16" i="74"/>
  <c r="E15" i="74"/>
  <c r="C15" i="74"/>
  <c r="I11" i="74"/>
  <c r="I10" i="74"/>
  <c r="C10" i="74"/>
  <c r="I9" i="74"/>
  <c r="C9" i="74"/>
  <c r="I7" i="74"/>
  <c r="C12" i="74" s="1"/>
  <c r="I6" i="74"/>
  <c r="C11" i="74" s="1"/>
  <c r="I5" i="74"/>
  <c r="I4" i="74"/>
  <c r="I1" i="74"/>
  <c r="L18" i="51"/>
  <c r="C18" i="51"/>
  <c r="L16" i="51"/>
  <c r="M15" i="51"/>
  <c r="L15" i="51"/>
  <c r="D16" i="51"/>
  <c r="M14" i="51"/>
  <c r="L14" i="51"/>
  <c r="D15" i="51"/>
  <c r="M13" i="51"/>
  <c r="L13" i="51"/>
  <c r="C14" i="51"/>
  <c r="L10" i="51"/>
  <c r="H10" i="51" s="1"/>
  <c r="H11" i="51"/>
  <c r="C11" i="51"/>
  <c r="L9" i="51"/>
  <c r="C10" i="51" s="1"/>
  <c r="L8" i="51"/>
  <c r="C17" i="51" s="1"/>
  <c r="C9" i="51"/>
  <c r="L7" i="51"/>
  <c r="L6" i="51"/>
  <c r="C7" i="51"/>
  <c r="L1" i="51"/>
  <c r="G12" i="50"/>
  <c r="F12" i="50"/>
  <c r="E12" i="50"/>
  <c r="D12" i="50"/>
  <c r="C12" i="50"/>
  <c r="J10" i="50"/>
  <c r="J8" i="50"/>
  <c r="K7" i="50"/>
  <c r="D5" i="50" s="1"/>
  <c r="J7" i="50"/>
  <c r="J6" i="50"/>
  <c r="G5" i="50"/>
  <c r="C5" i="50"/>
  <c r="J4" i="50"/>
  <c r="F3" i="50"/>
  <c r="C2" i="50"/>
  <c r="J1" i="50"/>
  <c r="E7" i="46"/>
  <c r="G32" i="46"/>
  <c r="E32" i="46"/>
  <c r="C32" i="46"/>
  <c r="C29" i="46"/>
  <c r="C28" i="46"/>
  <c r="C27" i="46"/>
  <c r="E25" i="46"/>
  <c r="G25" i="46" s="1"/>
  <c r="E24" i="46"/>
  <c r="C24" i="46" s="1"/>
  <c r="F19" i="46"/>
  <c r="C17" i="46"/>
  <c r="C20" i="46" s="1"/>
  <c r="C16" i="46"/>
  <c r="M13" i="46"/>
  <c r="L13" i="46"/>
  <c r="J13" i="46"/>
  <c r="G13" i="46"/>
  <c r="F13" i="46"/>
  <c r="C13" i="46"/>
  <c r="G12" i="46"/>
  <c r="F12" i="46"/>
  <c r="C12" i="46"/>
  <c r="J11" i="46"/>
  <c r="G11" i="46"/>
  <c r="F11" i="46"/>
  <c r="C11" i="46"/>
  <c r="J10" i="46"/>
  <c r="G10" i="46"/>
  <c r="F10" i="46"/>
  <c r="C10" i="46"/>
  <c r="J9" i="46"/>
  <c r="C7" i="46" s="1"/>
  <c r="G9" i="46"/>
  <c r="F9" i="46"/>
  <c r="C9" i="46"/>
  <c r="J8" i="46"/>
  <c r="J7" i="46"/>
  <c r="J6" i="46"/>
  <c r="J5" i="46"/>
  <c r="C5" i="46"/>
  <c r="J4" i="46"/>
  <c r="J3" i="46"/>
  <c r="C3" i="46"/>
  <c r="J1" i="46"/>
  <c r="D17" i="19"/>
  <c r="C17" i="19"/>
  <c r="B17" i="19"/>
  <c r="C15" i="19"/>
  <c r="C14" i="19"/>
  <c r="H13" i="19"/>
  <c r="D18" i="19" s="1"/>
  <c r="C13" i="19"/>
  <c r="H12" i="19"/>
  <c r="C18" i="19" s="1"/>
  <c r="H11" i="19"/>
  <c r="B18" i="19" s="1"/>
  <c r="H9" i="19"/>
  <c r="H8" i="19"/>
  <c r="C8" i="19"/>
  <c r="E6" i="19"/>
  <c r="E8" i="19" s="1"/>
  <c r="B6" i="19"/>
  <c r="B8" i="19" s="1"/>
  <c r="H5" i="19"/>
  <c r="E2" i="19"/>
  <c r="H1" i="19"/>
  <c r="L20" i="18"/>
  <c r="C21" i="18"/>
  <c r="J14" i="18"/>
  <c r="O13" i="18"/>
  <c r="N13" i="18"/>
  <c r="M13" i="18"/>
  <c r="D10" i="18" s="1"/>
  <c r="L13" i="18"/>
  <c r="C10" i="18" s="1"/>
  <c r="I13" i="18"/>
  <c r="J18" i="18" s="1"/>
  <c r="G14" i="18"/>
  <c r="F14" i="18"/>
  <c r="D14" i="18"/>
  <c r="C14" i="18"/>
  <c r="G13" i="18"/>
  <c r="E16" i="18" s="1"/>
  <c r="F16" i="18" s="1"/>
  <c r="F13" i="18"/>
  <c r="D13" i="18"/>
  <c r="C13" i="18"/>
  <c r="G12" i="18"/>
  <c r="E17" i="18" s="1"/>
  <c r="F17" i="18" s="1"/>
  <c r="F12" i="18"/>
  <c r="D12" i="18"/>
  <c r="C12" i="18"/>
  <c r="L10" i="18"/>
  <c r="J10" i="18"/>
  <c r="J20" i="18" s="1"/>
  <c r="G11" i="18"/>
  <c r="F11" i="18"/>
  <c r="D11" i="18"/>
  <c r="C11" i="18"/>
  <c r="L9" i="18"/>
  <c r="J9" i="18"/>
  <c r="F8" i="18" s="1"/>
  <c r="I9" i="18"/>
  <c r="F10" i="18"/>
  <c r="L8" i="18"/>
  <c r="L7" i="18"/>
  <c r="G8" i="18"/>
  <c r="C8" i="18"/>
  <c r="L6" i="18"/>
  <c r="I6" i="18"/>
  <c r="L5" i="18"/>
  <c r="I5" i="18"/>
  <c r="C6" i="18"/>
  <c r="L4" i="18"/>
  <c r="I4" i="18"/>
  <c r="C5" i="18"/>
  <c r="L3" i="18"/>
  <c r="C4" i="18"/>
  <c r="L1" i="18"/>
  <c r="D28" i="15"/>
  <c r="F24" i="15"/>
  <c r="D24" i="15"/>
  <c r="G22" i="15"/>
  <c r="F22" i="15"/>
  <c r="D22" i="15"/>
  <c r="G20" i="15"/>
  <c r="F20" i="15"/>
  <c r="E28" i="15" s="1"/>
  <c r="F28" i="15" s="1"/>
  <c r="D20" i="15"/>
  <c r="C20" i="15"/>
  <c r="F19" i="15"/>
  <c r="D19" i="15"/>
  <c r="C16" i="15"/>
  <c r="J15" i="15"/>
  <c r="C15" i="15"/>
  <c r="G14" i="15"/>
  <c r="F14" i="15"/>
  <c r="J13" i="15"/>
  <c r="J11" i="15"/>
  <c r="J10" i="15"/>
  <c r="J9" i="15"/>
  <c r="C8" i="15"/>
  <c r="J7" i="15"/>
  <c r="C7" i="15"/>
  <c r="J6" i="15"/>
  <c r="C6" i="15"/>
  <c r="J5" i="15"/>
  <c r="C5" i="15"/>
  <c r="J4" i="15"/>
  <c r="C4" i="15"/>
  <c r="J3" i="15"/>
  <c r="J1" i="15"/>
  <c r="D31" i="9"/>
  <c r="D29" i="9"/>
  <c r="D27" i="9"/>
  <c r="D25" i="9"/>
  <c r="D23" i="9"/>
  <c r="D21" i="9"/>
  <c r="D19" i="9"/>
  <c r="D17" i="9"/>
  <c r="D15" i="9"/>
  <c r="D13" i="9"/>
  <c r="D11" i="9"/>
  <c r="D9" i="9"/>
  <c r="E15" i="18" l="1"/>
  <c r="F15" i="18" s="1"/>
  <c r="C16" i="22"/>
  <c r="F25" i="75"/>
  <c r="D23" i="75" s="1"/>
  <c r="C25" i="46"/>
  <c r="G14" i="46"/>
  <c r="G16" i="46" s="1"/>
  <c r="F26" i="15"/>
  <c r="C8" i="51"/>
  <c r="D20" i="46"/>
  <c r="F20" i="22"/>
  <c r="G20" i="22" s="1"/>
  <c r="C18" i="46"/>
  <c r="C21" i="46"/>
  <c r="F24" i="46"/>
  <c r="J17" i="18"/>
  <c r="E10" i="19"/>
  <c r="D21" i="46"/>
  <c r="C19" i="46"/>
  <c r="G24" i="46"/>
  <c r="E19" i="46"/>
  <c r="C22" i="46"/>
  <c r="H19" i="22"/>
  <c r="D19" i="46"/>
  <c r="F21" i="46"/>
  <c r="D22" i="46"/>
  <c r="F25" i="46"/>
  <c r="C17" i="22"/>
  <c r="D17" i="22" s="1"/>
  <c r="B10" i="19"/>
  <c r="L6" i="19" s="1"/>
  <c r="G19" i="46"/>
  <c r="F22" i="46"/>
  <c r="C20" i="22"/>
  <c r="D20" i="22" s="1"/>
  <c r="C20" i="51"/>
  <c r="J12" i="18"/>
  <c r="J11" i="18"/>
  <c r="J15" i="18" s="1"/>
  <c r="I17" i="18"/>
  <c r="G18" i="18"/>
  <c r="J21" i="18" s="1"/>
  <c r="I18" i="18"/>
  <c r="D24" i="75" l="1"/>
  <c r="J27" i="75"/>
  <c r="L14" i="19"/>
  <c r="P19" i="19"/>
  <c r="L13" i="19"/>
  <c r="L20" i="19"/>
  <c r="L21" i="19"/>
  <c r="M21" i="19" s="1"/>
  <c r="L10" i="19"/>
  <c r="L19" i="19"/>
  <c r="M19" i="19" s="1"/>
  <c r="L16" i="19"/>
  <c r="Q13" i="19"/>
  <c r="M6" i="19"/>
  <c r="Q12" i="19"/>
  <c r="L15" i="19"/>
  <c r="M15" i="19" s="1"/>
  <c r="L17" i="19"/>
  <c r="L18" i="19"/>
  <c r="M18" i="19" s="1"/>
  <c r="H20" i="22"/>
  <c r="B8" i="22" s="1"/>
  <c r="M13" i="19" l="1"/>
  <c r="M16" i="19"/>
  <c r="M14" i="19"/>
  <c r="N14" i="19"/>
  <c r="P21" i="19"/>
  <c r="Q21" i="19" s="1"/>
  <c r="R19" i="19"/>
  <c r="P20" i="19"/>
  <c r="Q20" i="19" s="1"/>
  <c r="M17" i="19"/>
  <c r="N17" i="19" s="1"/>
  <c r="L8" i="19" s="1"/>
  <c r="C12" i="19" s="1"/>
  <c r="M20" i="19"/>
  <c r="N20" i="19" s="1"/>
  <c r="R20" i="19" l="1"/>
</calcChain>
</file>

<file path=xl/comments1.xml><?xml version="1.0" encoding="utf-8"?>
<comments xmlns="http://schemas.openxmlformats.org/spreadsheetml/2006/main">
  <authors>
    <author>Ein geschätzter Microsoft Office Anwender</author>
    <author>WF</author>
  </authors>
  <commentList>
    <comment ref="K6" authorId="0" shapeId="0">
      <text>
        <r>
          <rPr>
            <sz val="8"/>
            <color indexed="81"/>
            <rFont val="Tahoma"/>
            <family val="2"/>
          </rPr>
          <t>Übertragung Zahlenformat ohne Nachkommastellen</t>
        </r>
      </text>
    </comment>
    <comment ref="K7" authorId="0" shapeId="0">
      <text>
        <r>
          <rPr>
            <sz val="8"/>
            <color indexed="81"/>
            <rFont val="Tahoma"/>
            <family val="2"/>
          </rPr>
          <t>Übertragung Zahlenformat mit 2 Nachkommastellen</t>
        </r>
      </text>
    </comment>
    <comment ref="K8" authorId="1" shapeId="0">
      <text>
        <r>
          <rPr>
            <b/>
            <sz val="8"/>
            <color indexed="81"/>
            <rFont val="Tahoma"/>
            <family val="2"/>
          </rPr>
          <t>WF:</t>
        </r>
        <r>
          <rPr>
            <sz val="8"/>
            <color indexed="81"/>
            <rFont val="Tahoma"/>
            <family val="2"/>
          </rPr>
          <t xml:space="preserve">
Bei Eingabe von Null oder leer werden keine Nachkommastellen ausgegeben.
Bei 1 in der Form 47/100
ansonsten: Komma siebenundvierzig</t>
        </r>
      </text>
    </comment>
  </commentList>
</comments>
</file>

<file path=xl/comments2.xml><?xml version="1.0" encoding="utf-8"?>
<comments xmlns="http://schemas.openxmlformats.org/spreadsheetml/2006/main">
  <authors>
    <author>Ein geschätzter Microsoft Office Anwender</author>
    <author>WF</author>
  </authors>
  <commentList>
    <comment ref="X1" authorId="0" shapeId="0">
      <text>
        <r>
          <rPr>
            <sz val="8"/>
            <color indexed="81"/>
            <rFont val="Tahoma"/>
            <family val="2"/>
          </rPr>
          <t xml:space="preserve">
Das Programm wurde entwickelt von 
Walter Fricke, Derendorf  (WF)</t>
        </r>
      </text>
    </comment>
    <comment ref="A6" authorId="0" shapeId="0">
      <text>
        <r>
          <rPr>
            <sz val="8"/>
            <color indexed="81"/>
            <rFont val="Tahoma"/>
            <family val="2"/>
          </rPr>
          <t>Übertragung Zahlenformat ohne Nachkommastellen</t>
        </r>
      </text>
    </comment>
    <comment ref="A7" authorId="0" shapeId="0">
      <text>
        <r>
          <rPr>
            <sz val="8"/>
            <color indexed="81"/>
            <rFont val="Tahoma"/>
            <family val="2"/>
          </rPr>
          <t>Übertragung Zahlenformat mit 2 Nachkommastellen</t>
        </r>
      </text>
    </comment>
    <comment ref="A8" authorId="1" shapeId="0">
      <text>
        <r>
          <rPr>
            <b/>
            <sz val="8"/>
            <color indexed="81"/>
            <rFont val="Tahoma"/>
            <family val="2"/>
          </rPr>
          <t>WF:</t>
        </r>
        <r>
          <rPr>
            <sz val="8"/>
            <color indexed="81"/>
            <rFont val="Tahoma"/>
            <family val="2"/>
          </rPr>
          <t xml:space="preserve">
Bei Eingabe von Null oder leer werden keine Nachkommastellen ausgegeben.
Bei 1 in der Form 47/100
ansonsten: Komma siebenundvierzig</t>
        </r>
      </text>
    </comment>
  </commentList>
</comments>
</file>

<file path=xl/sharedStrings.xml><?xml version="1.0" encoding="utf-8"?>
<sst xmlns="http://schemas.openxmlformats.org/spreadsheetml/2006/main" count="580" uniqueCount="477">
  <si>
    <t>Preis</t>
  </si>
  <si>
    <t>Firma</t>
  </si>
  <si>
    <t>Betrag</t>
  </si>
  <si>
    <t>Datum:</t>
  </si>
  <si>
    <t>Menge</t>
  </si>
  <si>
    <t>Bezeichnung</t>
  </si>
  <si>
    <t>Umsatzsteuer</t>
  </si>
  <si>
    <t>Adresse</t>
  </si>
  <si>
    <t>Anrede</t>
  </si>
  <si>
    <t>Kundennummer</t>
  </si>
  <si>
    <t>Rechnungsnummer</t>
  </si>
  <si>
    <t>Datum</t>
  </si>
  <si>
    <t>Beschreibung</t>
  </si>
  <si>
    <t>UID-Nummer</t>
  </si>
  <si>
    <t>Nummer des Kassiers</t>
  </si>
  <si>
    <t>%</t>
  </si>
  <si>
    <t>IBAN</t>
  </si>
  <si>
    <t>BIC</t>
  </si>
  <si>
    <t>Gerichtsstand</t>
  </si>
  <si>
    <t>Slogan</t>
  </si>
  <si>
    <t>laufende Nummer</t>
  </si>
  <si>
    <t>Ort</t>
  </si>
  <si>
    <t>Unterschrift</t>
  </si>
  <si>
    <t>ATU46674503</t>
  </si>
  <si>
    <t>Bedienung</t>
  </si>
  <si>
    <t>PLZ:</t>
  </si>
  <si>
    <t>EUR</t>
  </si>
  <si>
    <t>EMS Inland, Österreich
bis 4 kg</t>
  </si>
  <si>
    <t>LKW-Maut</t>
  </si>
  <si>
    <t>Sendungsnummer(n):</t>
  </si>
  <si>
    <t>SUMME</t>
  </si>
  <si>
    <t>Postleitzahl</t>
  </si>
  <si>
    <t>Leistung</t>
  </si>
  <si>
    <t>VISA</t>
  </si>
  <si>
    <t>AMEX</t>
  </si>
  <si>
    <t>Zahlungsart mit Beleg</t>
  </si>
  <si>
    <t>BAR</t>
  </si>
  <si>
    <t>MAESTRO</t>
  </si>
  <si>
    <t>MASTERCARD</t>
  </si>
  <si>
    <t>AMERICAN EXPRESS</t>
  </si>
  <si>
    <t>** KUNDENBELEG **</t>
  </si>
  <si>
    <t>VERKAUF</t>
  </si>
  <si>
    <t>Terminal-ID:</t>
  </si>
  <si>
    <t>VU-Nr:</t>
  </si>
  <si>
    <t>Beleg-Nr:</t>
  </si>
  <si>
    <t>AID:</t>
  </si>
  <si>
    <t>Crypto:</t>
  </si>
  <si>
    <t>Nr:</t>
  </si>
  <si>
    <t>BEZAHLT</t>
  </si>
  <si>
    <t>GEN.NR.:</t>
  </si>
  <si>
    <t>Betrag:</t>
  </si>
  <si>
    <t>Überschrift für die veränderbaren Zellen:</t>
  </si>
  <si>
    <t>Beförderungsart</t>
  </si>
  <si>
    <t>84-168-255</t>
  </si>
  <si>
    <t>RGB Code für Schattierung der veränderbaren Felder</t>
  </si>
  <si>
    <t>RGB Code für Hintergrund der Überschrift</t>
  </si>
  <si>
    <t>227-233-244</t>
  </si>
  <si>
    <t>Artikelbezeichnung</t>
  </si>
  <si>
    <t>TABAK - TRAFIK</t>
  </si>
  <si>
    <t>Gesamt</t>
  </si>
  <si>
    <t>Preis/Stk.</t>
  </si>
  <si>
    <t>% USt von</t>
  </si>
  <si>
    <t>*********5098</t>
  </si>
  <si>
    <t>Besten Dank für Ihren Einkauf.</t>
  </si>
  <si>
    <t>Bel.-Nr:</t>
  </si>
  <si>
    <t>Belegnummer</t>
  </si>
  <si>
    <t>Gesamtbetrag</t>
  </si>
  <si>
    <t>Belegauswahl</t>
  </si>
  <si>
    <t>Eingang</t>
  </si>
  <si>
    <t>Ausgang</t>
  </si>
  <si>
    <t>Zahlen in Worten</t>
  </si>
  <si>
    <t>a</t>
  </si>
  <si>
    <t>Betrag in Worten:</t>
  </si>
  <si>
    <t>von/an</t>
  </si>
  <si>
    <t>für</t>
  </si>
  <si>
    <t>netto €</t>
  </si>
  <si>
    <t>Gesamtbetrag €</t>
  </si>
  <si>
    <t>Kassa EIN-AUS</t>
  </si>
  <si>
    <t>---   KASSA   ---</t>
  </si>
  <si>
    <t xml:space="preserve"> Eingang </t>
  </si>
  <si>
    <t xml:space="preserve"> Ausgang </t>
  </si>
  <si>
    <t>Es bediente Sie:</t>
  </si>
  <si>
    <t>Es bediente Sie</t>
  </si>
  <si>
    <t>Netto</t>
  </si>
  <si>
    <t>MwSt</t>
  </si>
  <si>
    <t>Summe</t>
  </si>
  <si>
    <t>Preis/EH</t>
  </si>
  <si>
    <t>Tageslosung</t>
  </si>
  <si>
    <t>Kassier/in</t>
  </si>
  <si>
    <t>Tageslosung Auswahl</t>
  </si>
  <si>
    <t>Währung</t>
  </si>
  <si>
    <t>Rechnung</t>
  </si>
  <si>
    <t>Lieferschein</t>
  </si>
  <si>
    <t>Sachbearbeiter</t>
  </si>
  <si>
    <t>Lieferdatum</t>
  </si>
  <si>
    <t>Kundenname</t>
  </si>
  <si>
    <t>Rechnungsdatum</t>
  </si>
  <si>
    <t>UID-Nr.</t>
  </si>
  <si>
    <t>Kunden-Nr.</t>
  </si>
  <si>
    <t>Bank</t>
  </si>
  <si>
    <t>Zurück zur Belegverwaltung</t>
  </si>
  <si>
    <t>Straße</t>
  </si>
  <si>
    <t>Ergebnis für Belegverwaltungsblatt</t>
  </si>
  <si>
    <t>Ergebnis für Steuerberatung</t>
  </si>
  <si>
    <t>Ergebnis für  LS oder ER</t>
  </si>
  <si>
    <t>Logo10</t>
  </si>
  <si>
    <t>Re-Nr.</t>
  </si>
  <si>
    <t>Re-Datum</t>
  </si>
  <si>
    <t>Botenfahrt 
inkl. 20 % USt</t>
  </si>
  <si>
    <t>Personenfahrt 
inkl. 10 % USt</t>
  </si>
  <si>
    <t>Logo01</t>
  </si>
  <si>
    <t>Logo02</t>
  </si>
  <si>
    <t>Logo03</t>
  </si>
  <si>
    <t>Logo04</t>
  </si>
  <si>
    <t>Logo05</t>
  </si>
  <si>
    <t>Logo06</t>
  </si>
  <si>
    <t>Logo07</t>
  </si>
  <si>
    <t>Logo08</t>
  </si>
  <si>
    <t>Logo09</t>
  </si>
  <si>
    <t>USt Hotel</t>
  </si>
  <si>
    <t>USt vollständig</t>
  </si>
  <si>
    <t>USt Taxi</t>
  </si>
  <si>
    <t>USt ohne 10</t>
  </si>
  <si>
    <t>Brutto</t>
  </si>
  <si>
    <t>USt</t>
  </si>
  <si>
    <t>Belege</t>
  </si>
  <si>
    <t>Unternehmensstammdaten</t>
  </si>
  <si>
    <t>Telefon</t>
  </si>
  <si>
    <t>Fax</t>
  </si>
  <si>
    <t>PLZ und Ort</t>
  </si>
  <si>
    <t>E-Mail</t>
  </si>
  <si>
    <t>Datum und Uhrzeit</t>
  </si>
  <si>
    <t>Zum Ausdrucken und Bearbeiten der Belege klicken Sie auf den entsprechenden Button.</t>
  </si>
  <si>
    <t>Verändern Sie hier den Beleg:</t>
  </si>
  <si>
    <t>Österreichische Post AG</t>
  </si>
  <si>
    <t>Stk.</t>
  </si>
  <si>
    <t>Vielen Dank für den Versand Ihrer Sendung(en) mit der österreischischen Post AG! Bitte heben Sie diesen Beleg auf. Er ist der Nachweis für die Aufgabe von Paketen/EMS. Den weiteren Sendungsverlauf können Sie im Internet mit der/den o. a. Sendungsnummer(n) nachverfolgen.</t>
  </si>
  <si>
    <t>WIR DANKEN FÜR IHR KOMMEN</t>
  </si>
  <si>
    <t>www.post.at/sendungsverfolgung</t>
  </si>
  <si>
    <t>Collegeblock kariert</t>
  </si>
  <si>
    <t>Kassa:</t>
  </si>
  <si>
    <t>Bon-Nr:</t>
  </si>
  <si>
    <t>Paper Diskont</t>
  </si>
  <si>
    <t>Belegart ER</t>
  </si>
  <si>
    <t>Belegart AR</t>
  </si>
  <si>
    <t>Gutschrift</t>
  </si>
  <si>
    <t>Privat</t>
  </si>
  <si>
    <t>Private Warenentnahme</t>
  </si>
  <si>
    <t>Privatentnahme</t>
  </si>
  <si>
    <t>Privateinlage</t>
  </si>
  <si>
    <t>Bankbezeichnung</t>
  </si>
  <si>
    <t>Bank EIN-AUS</t>
  </si>
  <si>
    <t>******</t>
  </si>
  <si>
    <t>Zeichen</t>
  </si>
  <si>
    <t>Unterschrift/Losungswort</t>
  </si>
  <si>
    <t>ZAHLUNGSANWEISUNG
AUFTRAGSBESTÄTIGUNG</t>
  </si>
  <si>
    <t xml:space="preserve">EmpfängerIn </t>
  </si>
  <si>
    <t>Name/Firma</t>
  </si>
  <si>
    <t>Empfänger</t>
  </si>
  <si>
    <t>EmpfängerIn</t>
  </si>
  <si>
    <t>Cent</t>
  </si>
  <si>
    <t>Verwendungszweck</t>
  </si>
  <si>
    <t>Betriebsbündelversicherung</t>
  </si>
  <si>
    <t>KontoinhaberIn/AuftraggeberIn</t>
  </si>
  <si>
    <t>(SWIFT-Code) Empfängerbank</t>
  </si>
  <si>
    <t>Bitte vor Weitergabe des Auftrages abtrennen - verbleibt bei AuftraggeberIn.
Gilt nicht als Durchführungsbestätigung!</t>
  </si>
  <si>
    <t>Ergebnis für Elektrofachmarkt</t>
  </si>
  <si>
    <t>Ergebnis für Zahlungsanweisung</t>
  </si>
  <si>
    <t>Ergebnis für Möbelhaus</t>
  </si>
  <si>
    <t>Einheit</t>
  </si>
  <si>
    <t>Geschäftsbezeichnung</t>
  </si>
  <si>
    <t>Logo11</t>
  </si>
  <si>
    <t>Logo12</t>
  </si>
  <si>
    <t>Logo13</t>
  </si>
  <si>
    <t>Logo14</t>
  </si>
  <si>
    <t>Logo15</t>
  </si>
  <si>
    <t>Logo16</t>
  </si>
  <si>
    <t>Logo17</t>
  </si>
  <si>
    <t>Logo18</t>
  </si>
  <si>
    <t>Logo19</t>
  </si>
  <si>
    <t>Logo20</t>
  </si>
  <si>
    <t>Kontakt</t>
  </si>
  <si>
    <t>Ihre Meinung ist uns wichtig! Bitte senden Sie Wünsche, Anregungen, Kritik und Lob an folgende Adresse:</t>
  </si>
  <si>
    <t>Impressum</t>
  </si>
  <si>
    <t>Kontakt &amp; Impressum</t>
  </si>
  <si>
    <t xml:space="preserve">Bilder: </t>
  </si>
  <si>
    <t>Projektleitung:</t>
  </si>
  <si>
    <t>Mag. Petra Salzer</t>
  </si>
  <si>
    <t>Inhalte und Produktion:</t>
  </si>
  <si>
    <t>Mag. Silke Ramsenthaler</t>
  </si>
  <si>
    <t>Version:</t>
  </si>
  <si>
    <t>Zahlungskonditionen</t>
  </si>
  <si>
    <t>Ergebnis für Telefon</t>
  </si>
  <si>
    <t>Zahlungsart BK</t>
  </si>
  <si>
    <t>Bar</t>
  </si>
  <si>
    <t>Überweisung</t>
  </si>
  <si>
    <t>Website</t>
  </si>
  <si>
    <t>Rechnungsdatum = Lieferdatum</t>
  </si>
  <si>
    <t>Ergebnis für WEK oder LS</t>
  </si>
  <si>
    <t>Art.Nr.</t>
  </si>
  <si>
    <t>Blätternamen</t>
  </si>
  <si>
    <t>Links</t>
  </si>
  <si>
    <t>Belegverwaltung</t>
  </si>
  <si>
    <t>Kontakt und Impressum</t>
  </si>
  <si>
    <t>Zahlungsanweisung allgemein</t>
  </si>
  <si>
    <t>Text</t>
  </si>
  <si>
    <t>Trafik</t>
  </si>
  <si>
    <t>USt. €</t>
  </si>
  <si>
    <t>Es gelten die Allgemeinen Geschäftsbedingungen 
der österreichischen Post AG 
in der jeweiligen Fassung.</t>
  </si>
  <si>
    <t>Nettobetrag</t>
  </si>
  <si>
    <t>JA</t>
  </si>
  <si>
    <t>NEIN</t>
  </si>
  <si>
    <t>USt Ausweis</t>
  </si>
  <si>
    <t>Ergebnis für Gasthaus</t>
  </si>
  <si>
    <t>Maut</t>
  </si>
  <si>
    <t>Rotenturmstr. 5-9, 1010 Wien</t>
  </si>
  <si>
    <t>UID-Nr. ATU43143200</t>
  </si>
  <si>
    <t>Mautstelle</t>
  </si>
  <si>
    <t>Gleinalm</t>
  </si>
  <si>
    <t>Vorderlainsach 34</t>
  </si>
  <si>
    <t>8770 St. Michael</t>
  </si>
  <si>
    <t>+43 1 956 1266</t>
  </si>
  <si>
    <t>info@asfinag.at</t>
  </si>
  <si>
    <t>Maut für Kategorie:</t>
  </si>
  <si>
    <t>Mautkategorie</t>
  </si>
  <si>
    <t>Tarif EUR:</t>
  </si>
  <si>
    <t>gegeben:</t>
  </si>
  <si>
    <t>inkl. 20.00 % USt.</t>
  </si>
  <si>
    <t>Eine gute Fahrt wünscht Ihnen ASFINAG!</t>
  </si>
  <si>
    <t>Dieser Beleg gilt als Rechnung.</t>
  </si>
  <si>
    <t>Kassablock</t>
  </si>
  <si>
    <t>Anz.</t>
  </si>
  <si>
    <t>Preise inkl.         % USt.</t>
  </si>
  <si>
    <t>Bei Irrtum oder Umtausch ist dieser Zettel vorzulegen.</t>
  </si>
  <si>
    <t>Arbeitsmantel</t>
  </si>
  <si>
    <t>FB-Nummer</t>
  </si>
  <si>
    <t>VIELEN DANK!</t>
  </si>
  <si>
    <t>Nettopreis/Stk.</t>
  </si>
  <si>
    <t>Netto/EH</t>
  </si>
  <si>
    <t>USt %</t>
  </si>
  <si>
    <t>Post - EMS-Gebühr</t>
  </si>
  <si>
    <t>Vignetten-Verkauf im Namen und auf Rechnung der ASFINAG AG.</t>
  </si>
  <si>
    <t>MwSt %</t>
  </si>
  <si>
    <t>Ergebnis für Hotel-Restaurant</t>
  </si>
  <si>
    <t>Danke für Ihren Einkauf!</t>
  </si>
  <si>
    <t>kein Logo</t>
  </si>
  <si>
    <t>USt Gasthaus</t>
  </si>
  <si>
    <t>1/PKW bis 3,5t</t>
  </si>
  <si>
    <t>Musterbeleg blau</t>
  </si>
  <si>
    <t>Musterbeleg gelb</t>
  </si>
  <si>
    <t>Musterbeleg magenta</t>
  </si>
  <si>
    <t>Musterbeleg orange</t>
  </si>
  <si>
    <t>Farbauswahl für Musterbeleg</t>
  </si>
  <si>
    <t>Musterbeleg grün</t>
  </si>
  <si>
    <t>Musterbeleg lila</t>
  </si>
  <si>
    <t>Gitternetzlinie ausblenden, damit die Logos 
keinen  Rahmen haben
Spalte B und N muss so breit sein wie die Logos</t>
  </si>
  <si>
    <t>QR Code 1</t>
  </si>
  <si>
    <t>QR Code 2</t>
  </si>
  <si>
    <t>Code 2 ist nur aktuell ein Platzhalter</t>
  </si>
  <si>
    <t>minimale Größe für gute Lesbarkeit</t>
  </si>
  <si>
    <t>Ergebnis für Büromaterial</t>
  </si>
  <si>
    <t>Logoauswahl</t>
  </si>
  <si>
    <t>Logo 01</t>
  </si>
  <si>
    <t>Logo 02</t>
  </si>
  <si>
    <t>Logo 03</t>
  </si>
  <si>
    <t>Logo 04</t>
  </si>
  <si>
    <t>Logo 05</t>
  </si>
  <si>
    <t>Logo 06</t>
  </si>
  <si>
    <t>Logo 07</t>
  </si>
  <si>
    <t>Logo 08</t>
  </si>
  <si>
    <t>Logo 09</t>
  </si>
  <si>
    <t>Logo 10</t>
  </si>
  <si>
    <t>Logo 15</t>
  </si>
  <si>
    <t>Logo 14</t>
  </si>
  <si>
    <t>Logo 13</t>
  </si>
  <si>
    <t>Logo 11</t>
  </si>
  <si>
    <t>Logo 12</t>
  </si>
  <si>
    <t>Logo 16</t>
  </si>
  <si>
    <t>Logo 17</t>
  </si>
  <si>
    <t>Logo 18</t>
  </si>
  <si>
    <t>Logo 19</t>
  </si>
  <si>
    <t>Logo 20</t>
  </si>
  <si>
    <t>Logoauswahl Logo01</t>
  </si>
  <si>
    <t>Logoauswahl Logo02</t>
  </si>
  <si>
    <t>Logoauswahl Logo03</t>
  </si>
  <si>
    <t>Logoauswahl Logo04</t>
  </si>
  <si>
    <t>Logoauswahl Logo05</t>
  </si>
  <si>
    <t>Logoauswahl Logo06</t>
  </si>
  <si>
    <t>Logoauswahl Logo07</t>
  </si>
  <si>
    <t>Logoauswahl Logo08</t>
  </si>
  <si>
    <t>Logoauswahl Logo09</t>
  </si>
  <si>
    <t>Logoauswahl Logo10</t>
  </si>
  <si>
    <t>Logoauswahl Logo11</t>
  </si>
  <si>
    <t>Logoauswahl Logo12</t>
  </si>
  <si>
    <t>Logoauswahl Logo13</t>
  </si>
  <si>
    <t>Logoauswahl Logo14</t>
  </si>
  <si>
    <t>Logoauswahl Logo15</t>
  </si>
  <si>
    <t>Logoauswahl Logo16</t>
  </si>
  <si>
    <t>Logoauswahl Logo17</t>
  </si>
  <si>
    <t>Logoauswahl Logo18</t>
  </si>
  <si>
    <t>Logoauswahl Logo19</t>
  </si>
  <si>
    <t>Logoauswahl Logo20</t>
  </si>
  <si>
    <t>Ergebnis für KFZ-Werkstätte</t>
  </si>
  <si>
    <t>Hilfe</t>
  </si>
  <si>
    <t>Beleg kopieren</t>
  </si>
  <si>
    <t>Ergebnis für Musterbank 3 (BAWAG)</t>
  </si>
  <si>
    <t>Diesen Button finden Sie rechts neben jedem Beleg. Sie kommen damit schnell zurück zur Übersicht.</t>
  </si>
  <si>
    <r>
      <t xml:space="preserve">Mit wenigen Klicks können Sie nun die </t>
    </r>
    <r>
      <rPr>
        <b/>
        <sz val="11"/>
        <rFont val="Trebuchet MS"/>
        <family val="2"/>
      </rPr>
      <t xml:space="preserve">Belege zur Weiterverwendung </t>
    </r>
    <r>
      <rPr>
        <sz val="11"/>
        <rFont val="Trebuchet MS"/>
        <family val="2"/>
      </rPr>
      <t>(z.B. in Word)</t>
    </r>
    <r>
      <rPr>
        <b/>
        <sz val="11"/>
        <rFont val="Trebuchet MS"/>
        <family val="2"/>
      </rPr>
      <t xml:space="preserve"> kopieren</t>
    </r>
    <r>
      <rPr>
        <sz val="11"/>
        <rFont val="Trebuchet MS"/>
        <family val="2"/>
      </rPr>
      <t>.</t>
    </r>
  </si>
  <si>
    <t>Lassen Sie sich dabei von der Sicherheitswarnung nicht irritieren. Nach erfolgter Arbeit mit der Belegkiste können Sie die Makros ganz einfach wieder ausschalten, indem Sie auf „Alle Makros mit Benachrichtigung deaktivieren“ klicken.</t>
  </si>
  <si>
    <r>
      <t>1.</t>
    </r>
    <r>
      <rPr>
        <sz val="7"/>
        <rFont val="Trebuchet MS"/>
        <family val="2"/>
      </rPr>
      <t xml:space="preserve">       </t>
    </r>
    <r>
      <rPr>
        <sz val="11"/>
        <rFont val="Trebuchet MS"/>
        <family val="2"/>
      </rPr>
      <t>Aktivieren Sie die Makros (Erklärung siehe unten).</t>
    </r>
  </si>
  <si>
    <r>
      <t>2.</t>
    </r>
    <r>
      <rPr>
        <sz val="7"/>
        <rFont val="Trebuchet MS"/>
        <family val="2"/>
      </rPr>
      <t xml:space="preserve">       </t>
    </r>
    <r>
      <rPr>
        <sz val="11"/>
        <rFont val="Trebuchet MS"/>
        <family val="2"/>
      </rPr>
      <t xml:space="preserve">Klicken Sie </t>
    </r>
    <r>
      <rPr>
        <sz val="11"/>
        <color rgb="FF000000"/>
        <rFont val="Trebuchet MS"/>
        <family val="2"/>
      </rPr>
      <t xml:space="preserve">auf den Button </t>
    </r>
    <r>
      <rPr>
        <sz val="11"/>
        <rFont val="Trebuchet MS"/>
        <family val="2"/>
      </rPr>
      <t>„Beleg kopieren“.</t>
    </r>
  </si>
  <si>
    <r>
      <t xml:space="preserve">So sorgen Sie dafür, dass Excel die </t>
    </r>
    <r>
      <rPr>
        <b/>
        <sz val="11"/>
        <rFont val="Trebuchet MS"/>
        <family val="2"/>
      </rPr>
      <t>Arbeit mit</t>
    </r>
    <r>
      <rPr>
        <sz val="11"/>
        <rFont val="Trebuchet MS"/>
        <family val="2"/>
      </rPr>
      <t xml:space="preserve"> </t>
    </r>
    <r>
      <rPr>
        <b/>
        <sz val="11"/>
        <rFont val="Trebuchet MS"/>
        <family val="2"/>
      </rPr>
      <t>Makros</t>
    </r>
    <r>
      <rPr>
        <sz val="11"/>
        <rFont val="Trebuchet MS"/>
        <family val="2"/>
      </rPr>
      <t xml:space="preserve"> </t>
    </r>
    <r>
      <rPr>
        <b/>
        <sz val="11"/>
        <rFont val="Trebuchet MS"/>
        <family val="2"/>
      </rPr>
      <t>zulässt</t>
    </r>
    <r>
      <rPr>
        <sz val="11"/>
        <rFont val="Trebuchet MS"/>
        <family val="2"/>
      </rPr>
      <t>:</t>
    </r>
  </si>
  <si>
    <r>
      <t>1.</t>
    </r>
    <r>
      <rPr>
        <sz val="7"/>
        <rFont val="Trebuchet MS"/>
        <family val="2"/>
      </rPr>
      <t xml:space="preserve">       </t>
    </r>
    <r>
      <rPr>
        <sz val="11"/>
        <rFont val="Trebuchet MS"/>
        <family val="2"/>
      </rPr>
      <t>Klicken Sie auf die Registerkarte „Datei“.</t>
    </r>
  </si>
  <si>
    <r>
      <t>6.</t>
    </r>
    <r>
      <rPr>
        <sz val="7"/>
        <rFont val="Trebuchet MS"/>
        <family val="2"/>
      </rPr>
      <t xml:space="preserve">       </t>
    </r>
    <r>
      <rPr>
        <sz val="11"/>
        <rFont val="Trebuchet MS"/>
        <family val="2"/>
      </rPr>
      <t>Klicken Sie auf „Alle Makros aktivieren“.</t>
    </r>
  </si>
  <si>
    <r>
      <t>3.</t>
    </r>
    <r>
      <rPr>
        <sz val="7"/>
        <rFont val="Trebuchet MS"/>
        <family val="2"/>
      </rPr>
      <t xml:space="preserve">       </t>
    </r>
    <r>
      <rPr>
        <sz val="11"/>
        <rFont val="Trebuchet MS"/>
        <family val="2"/>
      </rPr>
      <t>Öffnen Sie Word.</t>
    </r>
  </si>
  <si>
    <r>
      <t>4.</t>
    </r>
    <r>
      <rPr>
        <sz val="7"/>
        <rFont val="Trebuchet MS"/>
        <family val="2"/>
      </rPr>
      <t xml:space="preserve">       </t>
    </r>
    <r>
      <rPr>
        <sz val="11"/>
        <rFont val="Trebuchet MS"/>
        <family val="2"/>
      </rPr>
      <t>Mit der Tastenkombination STRG+V können Sie den Beleg nun in Word einfügen.</t>
    </r>
  </si>
  <si>
    <t xml:space="preserve">VISA </t>
  </si>
  <si>
    <t>Mag. Lydia Schneider</t>
  </si>
  <si>
    <t>Nizwa Design/Shutterstock</t>
  </si>
  <si>
    <t>Logo 5</t>
  </si>
  <si>
    <t>Sentavio/Shutterstock</t>
  </si>
  <si>
    <t>NartGraphic/Shutterstock</t>
  </si>
  <si>
    <t>Logo 7</t>
  </si>
  <si>
    <t>artyway/Shutterstock</t>
  </si>
  <si>
    <t>svtdesign/Shutterstock</t>
  </si>
  <si>
    <t>Logo 6</t>
  </si>
  <si>
    <t>Crystal Eye Studio/Shutterstock</t>
  </si>
  <si>
    <t>moobeer/Shutterstock</t>
  </si>
  <si>
    <t>Logo 1, 3, 4, 15, 20</t>
  </si>
  <si>
    <t>Logo 2, 19</t>
  </si>
  <si>
    <t>vectortwins/Shutterstock</t>
  </si>
  <si>
    <t>antishock/Shutterstock</t>
  </si>
  <si>
    <t>Logo 9, 13, 14, 16, 17, 18</t>
  </si>
  <si>
    <t>Ergebnis für  Bank EIN-AUS</t>
  </si>
  <si>
    <t>Ergebnis für Catering</t>
  </si>
  <si>
    <t>Auswahl Zahlungsart</t>
  </si>
  <si>
    <t>Logos in aufsteigender Reihenfolge für "Logoauswahl" Blatt</t>
  </si>
  <si>
    <t>Ab G101 - Logoauswahl-Felder für Tabellenblatt Logoauswahl</t>
  </si>
  <si>
    <t>Q10 definiert den variablen Druckbereich</t>
  </si>
  <si>
    <t>Position</t>
  </si>
  <si>
    <t>Umweltheizöl ÖKO</t>
  </si>
  <si>
    <t>Heizöl Extraleicht</t>
  </si>
  <si>
    <t>Diesel</t>
  </si>
  <si>
    <t>Bio-Diesel</t>
  </si>
  <si>
    <t>Euro Super 95</t>
  </si>
  <si>
    <t>Benzin 91</t>
  </si>
  <si>
    <t>Heizöl leicht</t>
  </si>
  <si>
    <t>Arbeit</t>
  </si>
  <si>
    <t>Teile</t>
  </si>
  <si>
    <t>Anzahlung</t>
  </si>
  <si>
    <t>Schlussrechnung</t>
  </si>
  <si>
    <t>Berichtsart</t>
  </si>
  <si>
    <t>Monatsbericht</t>
  </si>
  <si>
    <t>Rabattart</t>
  </si>
  <si>
    <t>Rabatt Prozentsatz</t>
  </si>
  <si>
    <t>Stempel</t>
  </si>
  <si>
    <t>Staat</t>
  </si>
  <si>
    <t>Hinweis</t>
  </si>
  <si>
    <t>Ergebnis für Tischlerei</t>
  </si>
  <si>
    <t>Ergebnis für Getränkehandel</t>
  </si>
  <si>
    <t>Ergebnis für WEK auf Ziel Gastro</t>
  </si>
  <si>
    <t>Logoübersicht</t>
  </si>
  <si>
    <t>TST</t>
  </si>
  <si>
    <t>Leistungsart</t>
  </si>
  <si>
    <t>Belegauswahl Anz.</t>
  </si>
  <si>
    <t>Tagesbericht</t>
  </si>
  <si>
    <t>Barzahlung</t>
  </si>
  <si>
    <t>Ergebnis Tischlerei</t>
  </si>
  <si>
    <t>Ergebnis Transport</t>
  </si>
  <si>
    <t>Bezugsart LV</t>
  </si>
  <si>
    <t>Angestellte</t>
  </si>
  <si>
    <t>Arbeiter</t>
  </si>
  <si>
    <t>Ergebnis EDV-Handel</t>
  </si>
  <si>
    <t>Ergebnis Bürobedarf</t>
  </si>
  <si>
    <t>Ergebnis Kassenbon Rabatt&amp;Skonto</t>
  </si>
  <si>
    <t>Ergebnis ER EU</t>
  </si>
  <si>
    <t>Ergebnis ER Import</t>
  </si>
  <si>
    <t>Ergebnis Restaurant FW</t>
  </si>
  <si>
    <t>QR Code Anzeige</t>
  </si>
  <si>
    <t>ANZEIGE QR Code wenn Barzahlung 
und bei LS</t>
  </si>
  <si>
    <t>Bitte beachten Sie, dass die Belegkiste auf Microsoft Excel 2016 entwickelt wurde.</t>
  </si>
  <si>
    <t>Listensymbol</t>
  </si>
  <si>
    <t>Farbe (Grau 3)</t>
  </si>
  <si>
    <t>Dropdown Felder</t>
  </si>
  <si>
    <r>
      <t>2.</t>
    </r>
    <r>
      <rPr>
        <sz val="7"/>
        <rFont val="Trebuchet MS"/>
        <family val="2"/>
      </rPr>
      <t xml:space="preserve">       </t>
    </r>
    <r>
      <rPr>
        <sz val="11"/>
        <rFont val="Trebuchet MS"/>
        <family val="2"/>
      </rPr>
      <t>Wählen Sie „Optionen“ (meist ganz unten auf der Seite zu finden).</t>
    </r>
  </si>
  <si>
    <r>
      <t>3.</t>
    </r>
    <r>
      <rPr>
        <sz val="7"/>
        <rFont val="Trebuchet MS"/>
        <family val="2"/>
      </rPr>
      <t xml:space="preserve">       </t>
    </r>
    <r>
      <rPr>
        <sz val="11"/>
        <rFont val="Trebuchet MS"/>
        <family val="2"/>
      </rPr>
      <t>In den Optionen wechseln Sie in die Rubrik „Trust Center/Sicherheitscenter“.</t>
    </r>
  </si>
  <si>
    <r>
      <t>4.</t>
    </r>
    <r>
      <rPr>
        <sz val="7"/>
        <rFont val="Trebuchet MS"/>
        <family val="2"/>
      </rPr>
      <t xml:space="preserve">       </t>
    </r>
    <r>
      <rPr>
        <sz val="11"/>
        <rFont val="Trebuchet MS"/>
        <family val="2"/>
      </rPr>
      <t>Klicken Sie auf den Button „Einstellungen für das „Trust Center/Sicherheitscenter“.</t>
    </r>
  </si>
  <si>
    <r>
      <t>5.</t>
    </r>
    <r>
      <rPr>
        <sz val="7"/>
        <rFont val="Trebuchet MS"/>
        <family val="2"/>
      </rPr>
      <t xml:space="preserve">       </t>
    </r>
    <r>
      <rPr>
        <sz val="11"/>
        <rFont val="Trebuchet MS"/>
        <family val="2"/>
      </rPr>
      <t>Wechseln Sie danach in die Rubrik „Makroeinstellungen“.</t>
    </r>
  </si>
  <si>
    <t>Durch das Klicken in das jeweilige Feld haben Sie die Möglichkeit, die Beleg- oder Zahlungsart, das Logo, den Umsatzsteuersatz und vieles mehr auszuwählen.</t>
  </si>
  <si>
    <t>NICHT VERWENDEN</t>
  </si>
  <si>
    <t>Dieses Symbol kennzeichnet Felder, welche eine Auswahlliste enthalten.</t>
  </si>
  <si>
    <t>In den farbig hinterlegten Feldern können Sie die Unternehmensstammdaten individuell Ihren Bedürfnissen anpassen.</t>
  </si>
  <si>
    <t>Liefer- &amp; Re.datum</t>
  </si>
  <si>
    <t>Änderungsschneiderei</t>
  </si>
  <si>
    <t>rechnungswesen@lernenwillmehr.at</t>
  </si>
  <si>
    <t>© Hölzel Verlag GmbH</t>
  </si>
  <si>
    <t>AUF ZIEL</t>
  </si>
  <si>
    <t>Ergebnis Büromaterial</t>
  </si>
  <si>
    <t>Ergebnis Restaurant</t>
  </si>
  <si>
    <t>Ergebnis Trafik</t>
  </si>
  <si>
    <t>Ergebnis Tankstelle</t>
  </si>
  <si>
    <t>Ergebnis Hotel</t>
  </si>
  <si>
    <t>Ergebnis Blumen</t>
  </si>
  <si>
    <t>Ergebnis Paper Diskont</t>
  </si>
  <si>
    <t>Ergebnis Elektrofachhandel</t>
  </si>
  <si>
    <t>Ergebnis Supermarkt</t>
  </si>
  <si>
    <t>Ergebnis Baumarkt</t>
  </si>
  <si>
    <t>Ergebnis KFZ-Werkstätte</t>
  </si>
  <si>
    <t>Ergebnis Gasthaus</t>
  </si>
  <si>
    <t>Ergebnis Maut</t>
  </si>
  <si>
    <t>ACHTUNG NICHT IN DER KORREKTEN REIHENFOLGE</t>
  </si>
  <si>
    <t>Ergebnis Handyshop</t>
  </si>
  <si>
    <t>Ergebnis Heizmaterial</t>
  </si>
  <si>
    <t>Ergebnis Taxi Registrierkasse</t>
  </si>
  <si>
    <t>Ergebnis Kassenbon Rabatt &amp; Skonto</t>
  </si>
  <si>
    <t>Ergebnis Kassenbon Gutschein</t>
  </si>
  <si>
    <t>Ergebnis Getränkehandel</t>
  </si>
  <si>
    <t>Auswahl QR Code für Belege ohne Auswahl einer Zahlungsart (z.B. Tageslosung, Post)</t>
  </si>
  <si>
    <t>Ergebnis WEK Gastro</t>
  </si>
  <si>
    <t>LEER</t>
  </si>
  <si>
    <t xml:space="preserve"> </t>
  </si>
  <si>
    <t>EMS</t>
  </si>
  <si>
    <t>ZA allg.</t>
  </si>
  <si>
    <t>Belegmappe zur Lerneinheit</t>
  </si>
  <si>
    <t>Einnahmen-Ausgaben-Journal und weitere Aufzeichnungen</t>
  </si>
  <si>
    <t>V34</t>
  </si>
  <si>
    <t>Maria Bauer e.U.</t>
  </si>
  <si>
    <t>Power Style</t>
  </si>
  <si>
    <t>Sonnenburgstraße 9</t>
  </si>
  <si>
    <t>6020 Innsbruck</t>
  </si>
  <si>
    <t>+43 512 58 23 99</t>
  </si>
  <si>
    <t>+43 512 58 23 99 90</t>
  </si>
  <si>
    <t>www.powerstyle.com</t>
  </si>
  <si>
    <t>ATU47680788</t>
  </si>
  <si>
    <t>Bank für Tirol und Vorarlberg AG</t>
  </si>
  <si>
    <t>BTVAAT22</t>
  </si>
  <si>
    <t>AT611600000010152068</t>
  </si>
  <si>
    <t>Gumppstraße 26</t>
  </si>
  <si>
    <t>+43 577 677 - 6020</t>
  </si>
  <si>
    <t>www.6020.post.at</t>
  </si>
  <si>
    <t>Herr Willi Pfeifer</t>
  </si>
  <si>
    <t>Irene Rainer</t>
  </si>
  <si>
    <t>Klostergasse 17</t>
  </si>
  <si>
    <t>+43 676 88 18 705</t>
  </si>
  <si>
    <t>NEWS</t>
  </si>
  <si>
    <t>Bild der Frau</t>
  </si>
  <si>
    <t>Auto Motor Sport</t>
  </si>
  <si>
    <t>K 456</t>
  </si>
  <si>
    <t>Maria Bauer</t>
  </si>
  <si>
    <t>Miete Lagerraum Dezember</t>
  </si>
  <si>
    <t>Innsbruck</t>
  </si>
  <si>
    <t>Sylvia Kompiller</t>
  </si>
  <si>
    <t>Alles Büro KG</t>
  </si>
  <si>
    <t>Büro- und Schreibwarenfachhandel</t>
  </si>
  <si>
    <t>Kaufmannstraße 22</t>
  </si>
  <si>
    <t>+43 512 39 15 79</t>
  </si>
  <si>
    <t>ATU65736947</t>
  </si>
  <si>
    <t>Fr. Inge</t>
  </si>
  <si>
    <t>Kassa Thermorollen 6er</t>
  </si>
  <si>
    <t>BIC Kugelschreiber Atlantis Set</t>
  </si>
  <si>
    <t>Buchkalender A4</t>
  </si>
  <si>
    <t>Tiroler Sparkasse Völs</t>
  </si>
  <si>
    <t>AT932050300000077428</t>
  </si>
  <si>
    <t>Tiroler Versicherung AG</t>
  </si>
  <si>
    <t>Mühlgasse 10</t>
  </si>
  <si>
    <t>AT302050303300849464</t>
  </si>
  <si>
    <t>SPIHAT22XXX</t>
  </si>
  <si>
    <t>Polizze 03-H425.102-M</t>
  </si>
  <si>
    <t>Jana Mayrhuber</t>
  </si>
  <si>
    <t>6175 Kematen</t>
  </si>
  <si>
    <t>Dorfplatz 17</t>
  </si>
  <si>
    <t>+43 5232 82 28</t>
  </si>
  <si>
    <t>ATU15263740</t>
  </si>
  <si>
    <t>Arbeitsschürze</t>
  </si>
  <si>
    <t>Friseurumhang schwarz</t>
  </si>
  <si>
    <t>Sergey Korkin/Shutterstock</t>
  </si>
  <si>
    <t>Logo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</si>
</sst>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3" formatCode="_-* #,##0.00_-;\-* #,##0.00_-;_-* &quot;-&quot;??_-;_-@_-"/>
    <numFmt numFmtId="164" formatCode="hh:mm:ss;@"/>
    <numFmt numFmtId="165" formatCode="mm\/yy"/>
    <numFmt numFmtId="166" formatCode="&quot;€&quot;\ #,##0.00"/>
    <numFmt numFmtId="167" formatCode="General;[Red]\-General;[Red]General"/>
    <numFmt numFmtId="168" formatCode=";;;"/>
    <numFmt numFmtId="169" formatCode="[$-F400]h:mm:ss\ AM/PM"/>
    <numFmt numFmtId="170" formatCode="#,##0.00_ ;\-#,##0.00\ "/>
    <numFmt numFmtId="171" formatCode="#,##0.00\+;#,##0.00\-;;"/>
    <numFmt numFmtId="172" formatCode="#,##0.00;#,##0.00;"/>
    <numFmt numFmtId="173" formatCode="yyyymmdd"/>
    <numFmt numFmtId="174" formatCode="hh:mm;@"/>
    <numFmt numFmtId="175" formatCode="[$-C07]d\ mmm\ yyyy;@"/>
    <numFmt numFmtId="176" formatCode="#,##0.00;#,##0.00;;"/>
    <numFmt numFmtId="177" formatCode="#,##0.00\ ;\-#,##0.00\ ;;"/>
    <numFmt numFmtId="178" formatCode="#,##0.00;;;"/>
  </numFmts>
  <fonts count="103" x14ac:knownFonts="1">
    <font>
      <sz val="10"/>
      <name val="Arial"/>
    </font>
    <font>
      <sz val="11"/>
      <color theme="1"/>
      <name val="Calibri"/>
      <family val="2"/>
      <scheme val="minor"/>
    </font>
    <font>
      <sz val="11"/>
      <color theme="1"/>
      <name val="Calibri"/>
      <family val="2"/>
      <scheme val="minor"/>
    </font>
    <font>
      <b/>
      <sz val="10"/>
      <name val="Arial"/>
      <family val="2"/>
    </font>
    <font>
      <b/>
      <sz val="12"/>
      <name val="Arial"/>
      <family val="2"/>
    </font>
    <font>
      <sz val="10"/>
      <name val="Arial"/>
      <family val="2"/>
    </font>
    <font>
      <sz val="10"/>
      <name val="Arial"/>
      <family val="2"/>
    </font>
    <font>
      <b/>
      <sz val="14"/>
      <name val="Arial"/>
      <family val="2"/>
    </font>
    <font>
      <u/>
      <sz val="10"/>
      <color indexed="12"/>
      <name val="Arial"/>
      <family val="2"/>
    </font>
    <font>
      <sz val="8"/>
      <name val="Arial"/>
      <family val="2"/>
    </font>
    <font>
      <sz val="8"/>
      <color theme="0" tint="-0.14999847407452621"/>
      <name val="Arial"/>
      <family val="2"/>
    </font>
    <font>
      <sz val="10"/>
      <name val="Verdana"/>
      <family val="2"/>
    </font>
    <font>
      <b/>
      <sz val="11"/>
      <color theme="1"/>
      <name val="Calibri"/>
      <family val="2"/>
      <scheme val="minor"/>
    </font>
    <font>
      <sz val="9"/>
      <name val="Arial"/>
      <family val="2"/>
    </font>
    <font>
      <b/>
      <sz val="9"/>
      <color theme="1"/>
      <name val="Calibri"/>
      <family val="2"/>
      <scheme val="minor"/>
    </font>
    <font>
      <b/>
      <sz val="11"/>
      <color rgb="FF1F497D"/>
      <name val="Calibri"/>
      <family val="2"/>
    </font>
    <font>
      <sz val="11"/>
      <color rgb="FF1F497D"/>
      <name val="Calibri"/>
      <family val="2"/>
    </font>
    <font>
      <sz val="10"/>
      <name val="Arial"/>
      <family val="2"/>
    </font>
    <font>
      <sz val="8"/>
      <color theme="1"/>
      <name val="Arial"/>
      <family val="2"/>
    </font>
    <font>
      <sz val="11"/>
      <name val="Arial"/>
      <family val="2"/>
    </font>
    <font>
      <sz val="10"/>
      <name val="Candara"/>
      <family val="2"/>
    </font>
    <font>
      <sz val="8"/>
      <name val="Candara"/>
      <family val="2"/>
    </font>
    <font>
      <b/>
      <sz val="8"/>
      <name val="Candara"/>
      <family val="2"/>
    </font>
    <font>
      <b/>
      <sz val="11"/>
      <name val="Candara"/>
      <family val="2"/>
    </font>
    <font>
      <b/>
      <sz val="10"/>
      <color theme="4" tint="-0.249977111117893"/>
      <name val="Lucida Handwriting"/>
      <family val="4"/>
    </font>
    <font>
      <b/>
      <sz val="11"/>
      <color indexed="12"/>
      <name val="Arial"/>
      <family val="2"/>
    </font>
    <font>
      <b/>
      <sz val="11"/>
      <name val="Arial"/>
      <family val="2"/>
    </font>
    <font>
      <b/>
      <sz val="11"/>
      <color indexed="10"/>
      <name val="Arial"/>
      <family val="2"/>
    </font>
    <font>
      <b/>
      <sz val="11"/>
      <color indexed="8"/>
      <name val="Arial"/>
      <family val="2"/>
    </font>
    <font>
      <sz val="11"/>
      <color indexed="10"/>
      <name val="Arial"/>
      <family val="2"/>
    </font>
    <font>
      <b/>
      <sz val="15"/>
      <name val="Arial"/>
      <family val="2"/>
    </font>
    <font>
      <sz val="10"/>
      <name val="MS Sans Serif"/>
      <family val="2"/>
    </font>
    <font>
      <sz val="8"/>
      <color indexed="81"/>
      <name val="Tahoma"/>
      <family val="2"/>
    </font>
    <font>
      <b/>
      <sz val="8"/>
      <color indexed="81"/>
      <name val="Tahoma"/>
      <family val="2"/>
    </font>
    <font>
      <b/>
      <sz val="11"/>
      <name val="Arial Narrow"/>
      <family val="2"/>
    </font>
    <font>
      <sz val="10"/>
      <name val="Arial Narrow"/>
      <family val="2"/>
    </font>
    <font>
      <sz val="8"/>
      <name val="Arial Narrow"/>
      <family val="2"/>
    </font>
    <font>
      <b/>
      <sz val="8"/>
      <name val="Arial Narrow"/>
      <family val="2"/>
    </font>
    <font>
      <b/>
      <sz val="10"/>
      <name val="Arial Narrow"/>
      <family val="2"/>
    </font>
    <font>
      <sz val="6"/>
      <name val="Arial"/>
      <family val="2"/>
    </font>
    <font>
      <b/>
      <sz val="12"/>
      <name val="Arial Narrow"/>
      <family val="2"/>
    </font>
    <font>
      <b/>
      <sz val="10"/>
      <name val="Candara"/>
      <family val="2"/>
    </font>
    <font>
      <sz val="10"/>
      <name val="Rockwell"/>
      <family val="1"/>
    </font>
    <font>
      <sz val="10"/>
      <name val="Consolas"/>
      <family val="3"/>
    </font>
    <font>
      <b/>
      <sz val="14"/>
      <name val="Consolas"/>
      <family val="3"/>
    </font>
    <font>
      <sz val="8"/>
      <name val="Consolas"/>
      <family val="3"/>
    </font>
    <font>
      <sz val="6"/>
      <name val="Consolas"/>
      <family val="3"/>
    </font>
    <font>
      <sz val="6"/>
      <name val="Candara"/>
      <family val="2"/>
    </font>
    <font>
      <b/>
      <sz val="14"/>
      <name val="Candara"/>
      <family val="2"/>
    </font>
    <font>
      <sz val="10"/>
      <name val="Courier New"/>
      <family val="3"/>
    </font>
    <font>
      <sz val="10"/>
      <color theme="0"/>
      <name val="Arial"/>
      <family val="2"/>
    </font>
    <font>
      <sz val="10"/>
      <color rgb="FFFF0000"/>
      <name val="Arial"/>
      <family val="2"/>
    </font>
    <font>
      <sz val="10"/>
      <name val="Lucida Console"/>
      <family val="3"/>
    </font>
    <font>
      <b/>
      <sz val="9"/>
      <color theme="1"/>
      <name val="Arial"/>
      <family val="2"/>
    </font>
    <font>
      <b/>
      <sz val="16"/>
      <color rgb="FFFF0000"/>
      <name val="Arial"/>
      <family val="2"/>
    </font>
    <font>
      <b/>
      <sz val="10"/>
      <name val="Trebuchet MS"/>
      <family val="2"/>
    </font>
    <font>
      <sz val="12"/>
      <name val="Trebuchet MS"/>
      <family val="2"/>
    </font>
    <font>
      <b/>
      <sz val="24"/>
      <color rgb="FFFFFFFF"/>
      <name val="Trebuchet MS"/>
      <family val="2"/>
    </font>
    <font>
      <sz val="10"/>
      <color rgb="FF000000"/>
      <name val="Trebuchet MS"/>
      <family val="2"/>
    </font>
    <font>
      <sz val="12"/>
      <color rgb="FF6191CC"/>
      <name val="Trebuchet MS"/>
      <family val="2"/>
    </font>
    <font>
      <b/>
      <sz val="12"/>
      <color rgb="FF6191CC"/>
      <name val="Trebuchet MS"/>
      <family val="2"/>
    </font>
    <font>
      <sz val="11"/>
      <color rgb="FF000000"/>
      <name val="Trebuchet MS"/>
      <family val="2"/>
    </font>
    <font>
      <sz val="10"/>
      <name val="Trebuchet MS"/>
      <family val="2"/>
    </font>
    <font>
      <b/>
      <sz val="16"/>
      <color theme="0"/>
      <name val="Trebuchet MS"/>
      <family val="2"/>
    </font>
    <font>
      <b/>
      <sz val="12"/>
      <name val="Trebuchet MS"/>
      <family val="2"/>
    </font>
    <font>
      <sz val="8"/>
      <name val="Trebuchet MS"/>
      <family val="2"/>
    </font>
    <font>
      <sz val="8"/>
      <color theme="1"/>
      <name val="Trebuchet MS"/>
      <family val="2"/>
    </font>
    <font>
      <sz val="10"/>
      <color theme="1"/>
      <name val="Trebuchet MS"/>
      <family val="2"/>
    </font>
    <font>
      <sz val="11"/>
      <name val="Trebuchet MS"/>
      <family val="2"/>
    </font>
    <font>
      <b/>
      <sz val="11"/>
      <color indexed="12"/>
      <name val="Trebuchet MS"/>
      <family val="2"/>
    </font>
    <font>
      <b/>
      <sz val="11"/>
      <name val="Trebuchet MS"/>
      <family val="2"/>
    </font>
    <font>
      <b/>
      <sz val="11"/>
      <color indexed="10"/>
      <name val="Trebuchet MS"/>
      <family val="2"/>
    </font>
    <font>
      <b/>
      <sz val="11"/>
      <color indexed="8"/>
      <name val="Trebuchet MS"/>
      <family val="2"/>
    </font>
    <font>
      <sz val="6"/>
      <name val="Trebuchet MS"/>
      <family val="2"/>
    </font>
    <font>
      <sz val="10"/>
      <color theme="0"/>
      <name val="Trebuchet MS"/>
      <family val="2"/>
    </font>
    <font>
      <b/>
      <sz val="12"/>
      <color rgb="FF00A7E7"/>
      <name val="Trebuchet MS"/>
      <family val="2"/>
    </font>
    <font>
      <sz val="11"/>
      <color theme="1"/>
      <name val="Trebuchet MS"/>
      <family val="2"/>
    </font>
    <font>
      <sz val="11"/>
      <color rgb="FF009DE7"/>
      <name val="Trebuchet MS"/>
      <family val="2"/>
    </font>
    <font>
      <b/>
      <sz val="11"/>
      <color rgb="FF009DE7"/>
      <name val="Trebuchet MS"/>
      <family val="2"/>
    </font>
    <font>
      <sz val="10"/>
      <color rgb="FF009DE7"/>
      <name val="Trebuchet MS"/>
      <family val="2"/>
    </font>
    <font>
      <b/>
      <sz val="16"/>
      <color rgb="FF009DE7"/>
      <name val="Trebuchet MS"/>
      <family val="2"/>
    </font>
    <font>
      <sz val="10"/>
      <color rgb="FF009DE7"/>
      <name val="Arial"/>
      <family val="2"/>
    </font>
    <font>
      <b/>
      <sz val="15"/>
      <color rgb="FF009DE7"/>
      <name val="Trebuchet MS"/>
      <family val="2"/>
    </font>
    <font>
      <b/>
      <sz val="11"/>
      <color theme="0" tint="-4.9989318521683403E-2"/>
      <name val="Trebuchet MS"/>
      <family val="2"/>
    </font>
    <font>
      <sz val="10"/>
      <color theme="0" tint="-4.9989318521683403E-2"/>
      <name val="Trebuchet MS"/>
      <family val="2"/>
    </font>
    <font>
      <sz val="10"/>
      <color rgb="FF3B4395"/>
      <name val="Arial"/>
      <family val="2"/>
    </font>
    <font>
      <sz val="14"/>
      <color rgb="FF3B4395"/>
      <name val="Brush Script MT"/>
      <family val="4"/>
    </font>
    <font>
      <sz val="15"/>
      <color rgb="FF3B4395"/>
      <name val="Brush Script MT"/>
      <family val="4"/>
    </font>
    <font>
      <b/>
      <sz val="10"/>
      <color rgb="FFE9500E"/>
      <name val="Arial Narrow"/>
      <family val="2"/>
    </font>
    <font>
      <sz val="20"/>
      <color rgb="FFC7361B"/>
      <name val="Arial Black"/>
      <family val="2"/>
    </font>
    <font>
      <sz val="10"/>
      <color rgb="FFC00000"/>
      <name val="Trebuchet MS"/>
      <family val="2"/>
    </font>
    <font>
      <b/>
      <sz val="20"/>
      <color rgb="FFB81A5D"/>
      <name val="Book Antiqua"/>
      <family val="1"/>
    </font>
    <font>
      <sz val="12"/>
      <color rgb="FF2B2171"/>
      <name val="Book Antiqua"/>
      <family val="1"/>
    </font>
    <font>
      <sz val="10"/>
      <color rgb="FF2B2171"/>
      <name val="Book Antiqua"/>
      <family val="1"/>
    </font>
    <font>
      <sz val="13"/>
      <color rgb="FF787FBD"/>
      <name val="Brush Script MT"/>
      <family val="4"/>
    </font>
    <font>
      <b/>
      <sz val="11"/>
      <color rgb="FF00A7E7"/>
      <name val="Trebuchet MS"/>
      <family val="2"/>
    </font>
    <font>
      <sz val="12"/>
      <color rgb="FF00A7E7"/>
      <name val="Trebuchet MS"/>
      <family val="2"/>
    </font>
    <font>
      <sz val="7"/>
      <name val="Trebuchet MS"/>
      <family val="2"/>
    </font>
    <font>
      <i/>
      <sz val="10"/>
      <color theme="1"/>
      <name val="Trebuchet MS"/>
      <family val="2"/>
    </font>
    <font>
      <i/>
      <sz val="10"/>
      <color rgb="FF009DE7"/>
      <name val="Trebuchet MS"/>
      <family val="2"/>
    </font>
    <font>
      <b/>
      <sz val="10"/>
      <color rgb="FFC00000"/>
      <name val="Trebuchet MS"/>
      <family val="2"/>
    </font>
    <font>
      <b/>
      <sz val="13"/>
      <color rgb="FFFFFFFF"/>
      <name val="Trebuchet MS"/>
      <family val="2"/>
    </font>
    <font>
      <b/>
      <sz val="20"/>
      <color rgb="FFFFFFFF"/>
      <name val="Trebuchet MS"/>
      <family val="2"/>
    </font>
  </fonts>
  <fills count="14">
    <fill>
      <patternFill patternType="none"/>
    </fill>
    <fill>
      <patternFill patternType="gray125"/>
    </fill>
    <fill>
      <patternFill patternType="solid">
        <fgColor rgb="FFE3E9F4"/>
        <bgColor indexed="64"/>
      </patternFill>
    </fill>
    <fill>
      <patternFill patternType="solid">
        <fgColor theme="0" tint="-0.14999847407452621"/>
        <bgColor indexed="64"/>
      </patternFill>
    </fill>
    <fill>
      <patternFill patternType="solid">
        <fgColor indexed="26"/>
        <bgColor indexed="64"/>
      </patternFill>
    </fill>
    <fill>
      <patternFill patternType="solid">
        <fgColor rgb="FFFFFF00"/>
        <bgColor indexed="64"/>
      </patternFill>
    </fill>
    <fill>
      <patternFill patternType="solid">
        <fgColor rgb="FF00A7E7"/>
        <bgColor rgb="FF000000"/>
      </patternFill>
    </fill>
    <fill>
      <patternFill patternType="solid">
        <fgColor rgb="FFE4F4FE"/>
        <bgColor indexed="64"/>
      </patternFill>
    </fill>
    <fill>
      <patternFill patternType="solid">
        <fgColor rgb="FFFCEAF0"/>
        <bgColor indexed="64"/>
      </patternFill>
    </fill>
    <fill>
      <patternFill patternType="solid">
        <fgColor rgb="FFE6F3ED"/>
        <bgColor indexed="64"/>
      </patternFill>
    </fill>
    <fill>
      <patternFill patternType="solid">
        <fgColor rgb="FFFDECE4"/>
        <bgColor indexed="64"/>
      </patternFill>
    </fill>
    <fill>
      <patternFill patternType="solid">
        <fgColor rgb="FFEBEBF6"/>
        <bgColor indexed="64"/>
      </patternFill>
    </fill>
    <fill>
      <patternFill patternType="solid">
        <fgColor rgb="FFFFF8EB"/>
        <bgColor indexed="64"/>
      </patternFill>
    </fill>
    <fill>
      <patternFill patternType="solid">
        <fgColor theme="1" tint="0.499984740745262"/>
        <bgColor indexed="64"/>
      </patternFill>
    </fill>
  </fills>
  <borders count="6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ashed">
        <color indexed="64"/>
      </bottom>
      <diagonal/>
    </border>
    <border>
      <left/>
      <right/>
      <top/>
      <bottom style="medium">
        <color indexed="64"/>
      </bottom>
      <diagonal/>
    </border>
    <border>
      <left/>
      <right/>
      <top style="dashed">
        <color indexed="64"/>
      </top>
      <bottom style="double">
        <color indexed="64"/>
      </bottom>
      <diagonal/>
    </border>
    <border>
      <left/>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top style="dashed">
        <color indexed="64"/>
      </top>
      <bottom style="thin">
        <color indexed="64"/>
      </bottom>
      <diagonal/>
    </border>
    <border>
      <left style="thin">
        <color indexed="64"/>
      </left>
      <right/>
      <top/>
      <bottom style="dashed">
        <color indexed="64"/>
      </bottom>
      <diagonal/>
    </border>
    <border>
      <left/>
      <right style="thin">
        <color indexed="64"/>
      </right>
      <top/>
      <bottom style="dashed">
        <color indexed="64"/>
      </bottom>
      <diagonal/>
    </border>
    <border>
      <left/>
      <right style="thin">
        <color indexed="64"/>
      </right>
      <top style="dash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n">
        <color rgb="FF80ABE0"/>
      </bottom>
      <diagonal/>
    </border>
    <border>
      <left/>
      <right/>
      <top/>
      <bottom style="medium">
        <color theme="0"/>
      </bottom>
      <diagonal/>
    </border>
    <border>
      <left/>
      <right/>
      <top style="medium">
        <color theme="0"/>
      </top>
      <bottom style="medium">
        <color theme="0"/>
      </bottom>
      <diagonal/>
    </border>
    <border>
      <left/>
      <right/>
      <top style="medium">
        <color theme="0"/>
      </top>
      <bottom/>
      <diagonal/>
    </border>
    <border>
      <left/>
      <right/>
      <top style="dotted">
        <color auto="1"/>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bottom style="medium">
        <color indexed="64"/>
      </bottom>
      <diagonal/>
    </border>
    <border>
      <left style="thick">
        <color indexed="64"/>
      </left>
      <right/>
      <top style="thick">
        <color indexed="64"/>
      </top>
      <bottom/>
      <diagonal/>
    </border>
    <border>
      <left style="thin">
        <color indexed="64"/>
      </left>
      <right style="thick">
        <color indexed="64"/>
      </right>
      <top style="thick">
        <color indexed="64"/>
      </top>
      <bottom/>
      <diagonal/>
    </border>
    <border>
      <left style="thick">
        <color indexed="64"/>
      </left>
      <right/>
      <top/>
      <bottom style="thick">
        <color indexed="64"/>
      </bottom>
      <diagonal/>
    </border>
    <border>
      <left/>
      <right style="thick">
        <color indexed="64"/>
      </right>
      <top/>
      <bottom style="thick">
        <color indexed="64"/>
      </bottom>
      <diagonal/>
    </border>
    <border>
      <left/>
      <right/>
      <top style="medium">
        <color auto="1"/>
      </top>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bottom style="thin">
        <color rgb="FF00A7E7"/>
      </bottom>
      <diagonal/>
    </border>
    <border>
      <left/>
      <right/>
      <top style="thin">
        <color rgb="FF00A7E7"/>
      </top>
      <bottom/>
      <diagonal/>
    </border>
  </borders>
  <cellStyleXfs count="11">
    <xf numFmtId="0" fontId="0" fillId="0" borderId="0"/>
    <xf numFmtId="43" fontId="6" fillId="0" borderId="0" applyFont="0" applyFill="0" applyBorder="0" applyAlignment="0" applyProtection="0"/>
    <xf numFmtId="0" fontId="8" fillId="0" borderId="0" applyNumberFormat="0" applyFill="0" applyBorder="0" applyAlignment="0" applyProtection="0">
      <alignment vertical="top"/>
      <protection locked="0"/>
    </xf>
    <xf numFmtId="9" fontId="17" fillId="0" borderId="0" applyFont="0" applyFill="0" applyBorder="0" applyAlignment="0" applyProtection="0"/>
    <xf numFmtId="0" fontId="5" fillId="0" borderId="0"/>
    <xf numFmtId="0" fontId="31" fillId="0" borderId="0"/>
    <xf numFmtId="0" fontId="5" fillId="0" borderId="0"/>
    <xf numFmtId="0" fontId="2" fillId="0" borderId="0"/>
    <xf numFmtId="43" fontId="5" fillId="0" borderId="0" applyFont="0" applyFill="0" applyBorder="0" applyAlignment="0" applyProtection="0"/>
    <xf numFmtId="9" fontId="5" fillId="0" borderId="0" applyFont="0" applyFill="0" applyBorder="0" applyAlignment="0" applyProtection="0"/>
    <xf numFmtId="0" fontId="1" fillId="0" borderId="0"/>
  </cellStyleXfs>
  <cellXfs count="639">
    <xf numFmtId="0" fontId="0" fillId="0" borderId="0" xfId="0"/>
    <xf numFmtId="0" fontId="0" fillId="0" borderId="0" xfId="0" applyProtection="1"/>
    <xf numFmtId="0" fontId="0" fillId="0" borderId="0" xfId="0" applyBorder="1" applyProtection="1"/>
    <xf numFmtId="0" fontId="0" fillId="0" borderId="1" xfId="0" applyBorder="1" applyProtection="1"/>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6" xfId="0" applyBorder="1" applyProtection="1"/>
    <xf numFmtId="0" fontId="0" fillId="0" borderId="8" xfId="0" applyBorder="1" applyProtection="1"/>
    <xf numFmtId="0" fontId="5" fillId="0" borderId="0" xfId="0" applyFont="1" applyProtection="1"/>
    <xf numFmtId="0" fontId="5" fillId="0" borderId="0" xfId="0" applyFont="1"/>
    <xf numFmtId="43" fontId="0" fillId="0" borderId="0" xfId="1" applyFont="1" applyBorder="1" applyProtection="1"/>
    <xf numFmtId="0" fontId="0" fillId="0" borderId="7" xfId="0" applyBorder="1" applyProtection="1"/>
    <xf numFmtId="0" fontId="0" fillId="0" borderId="0" xfId="0" applyAlignment="1">
      <alignment horizontal="left"/>
    </xf>
    <xf numFmtId="0" fontId="5" fillId="0" borderId="0" xfId="0" applyFont="1" applyBorder="1" applyProtection="1"/>
    <xf numFmtId="0" fontId="10" fillId="0" borderId="0" xfId="0" applyFont="1" applyProtection="1"/>
    <xf numFmtId="0" fontId="5" fillId="0" borderId="0" xfId="0" applyFont="1" applyAlignment="1" applyProtection="1">
      <alignment horizontal="center"/>
    </xf>
    <xf numFmtId="0" fontId="5" fillId="0" borderId="0" xfId="0" applyFont="1" applyAlignment="1" applyProtection="1">
      <alignment vertical="center" wrapText="1"/>
    </xf>
    <xf numFmtId="0" fontId="3" fillId="0" borderId="0" xfId="0" applyFont="1"/>
    <xf numFmtId="0" fontId="12" fillId="0" borderId="0" xfId="0" applyFont="1" applyBorder="1" applyAlignment="1" applyProtection="1">
      <alignment horizontal="center"/>
    </xf>
    <xf numFmtId="164" fontId="0" fillId="0" borderId="0" xfId="0" applyNumberFormat="1" applyBorder="1" applyAlignment="1" applyProtection="1">
      <alignment horizontal="right"/>
    </xf>
    <xf numFmtId="1" fontId="0" fillId="0" borderId="0" xfId="0" applyNumberFormat="1" applyBorder="1" applyProtection="1"/>
    <xf numFmtId="0" fontId="0" fillId="0" borderId="0" xfId="0" applyBorder="1" applyAlignment="1" applyProtection="1">
      <alignment horizontal="right"/>
    </xf>
    <xf numFmtId="165" fontId="0" fillId="0" borderId="0" xfId="0" applyNumberFormat="1" applyBorder="1" applyProtection="1"/>
    <xf numFmtId="1" fontId="0" fillId="0" borderId="0" xfId="0" quotePrefix="1" applyNumberFormat="1" applyBorder="1" applyAlignment="1" applyProtection="1">
      <alignment horizontal="right"/>
    </xf>
    <xf numFmtId="0" fontId="12" fillId="0" borderId="0" xfId="0" applyFont="1" applyFill="1" applyBorder="1" applyAlignment="1" applyProtection="1">
      <alignment horizontal="center"/>
    </xf>
    <xf numFmtId="166" fontId="12" fillId="0" borderId="0" xfId="1" applyNumberFormat="1" applyFont="1" applyBorder="1" applyProtection="1"/>
    <xf numFmtId="14" fontId="13" fillId="0" borderId="4" xfId="0" applyNumberFormat="1" applyFont="1" applyBorder="1" applyAlignment="1" applyProtection="1">
      <alignment horizontal="left"/>
    </xf>
    <xf numFmtId="164" fontId="13" fillId="0" borderId="5" xfId="0" applyNumberFormat="1" applyFont="1" applyBorder="1" applyAlignment="1" applyProtection="1">
      <alignment horizontal="right"/>
    </xf>
    <xf numFmtId="0" fontId="13" fillId="0" borderId="4" xfId="0" applyFont="1" applyBorder="1" applyProtection="1"/>
    <xf numFmtId="1" fontId="13" fillId="0" borderId="5" xfId="0" applyNumberFormat="1" applyFont="1" applyBorder="1" applyProtection="1"/>
    <xf numFmtId="0" fontId="13" fillId="0" borderId="4" xfId="0" applyFont="1" applyFill="1" applyBorder="1" applyProtection="1"/>
    <xf numFmtId="0" fontId="13" fillId="0" borderId="5" xfId="0" applyFont="1" applyBorder="1" applyAlignment="1" applyProtection="1">
      <alignment horizontal="right"/>
    </xf>
    <xf numFmtId="165" fontId="13" fillId="0" borderId="5" xfId="0" applyNumberFormat="1" applyFont="1" applyBorder="1" applyProtection="1"/>
    <xf numFmtId="1" fontId="13" fillId="0" borderId="5" xfId="0" applyNumberFormat="1" applyFont="1" applyBorder="1" applyAlignment="1" applyProtection="1">
      <alignment horizontal="left"/>
    </xf>
    <xf numFmtId="0" fontId="0" fillId="0" borderId="0" xfId="0" applyBorder="1" applyAlignment="1" applyProtection="1">
      <alignment horizontal="center"/>
    </xf>
    <xf numFmtId="0" fontId="16" fillId="0" borderId="0" xfId="0" applyFont="1"/>
    <xf numFmtId="0" fontId="5" fillId="0" borderId="0" xfId="0" applyFont="1" applyAlignment="1" applyProtection="1"/>
    <xf numFmtId="9" fontId="18" fillId="0" borderId="0" xfId="0" applyNumberFormat="1" applyFont="1" applyAlignment="1" applyProtection="1">
      <alignment horizontal="left"/>
    </xf>
    <xf numFmtId="0" fontId="13" fillId="0" borderId="0" xfId="0" applyFont="1" applyBorder="1" applyAlignment="1" applyProtection="1">
      <alignment horizontal="left"/>
    </xf>
    <xf numFmtId="164" fontId="13" fillId="0" borderId="0" xfId="0" applyNumberFormat="1" applyFont="1" applyBorder="1" applyAlignment="1" applyProtection="1">
      <alignment horizontal="right"/>
    </xf>
    <xf numFmtId="1" fontId="13" fillId="0" borderId="0" xfId="0" applyNumberFormat="1" applyFont="1" applyBorder="1" applyProtection="1"/>
    <xf numFmtId="0" fontId="13" fillId="0" borderId="0" xfId="0" applyFont="1" applyBorder="1" applyAlignment="1" applyProtection="1">
      <alignment horizontal="right"/>
    </xf>
    <xf numFmtId="165" fontId="13" fillId="0" borderId="0" xfId="0" applyNumberFormat="1" applyFont="1" applyBorder="1" applyProtection="1"/>
    <xf numFmtId="1" fontId="13" fillId="0" borderId="0" xfId="0" quotePrefix="1" applyNumberFormat="1" applyFont="1" applyBorder="1" applyAlignment="1" applyProtection="1">
      <alignment horizontal="right"/>
    </xf>
    <xf numFmtId="166" fontId="14" fillId="0" borderId="0" xfId="1" applyNumberFormat="1" applyFont="1" applyBorder="1" applyProtection="1"/>
    <xf numFmtId="14" fontId="0" fillId="0" borderId="0" xfId="0" applyNumberFormat="1" applyProtection="1"/>
    <xf numFmtId="43" fontId="0" fillId="0" borderId="0" xfId="1" applyFont="1" applyProtection="1"/>
    <xf numFmtId="43" fontId="3" fillId="0" borderId="0" xfId="1" applyFont="1" applyBorder="1" applyProtection="1"/>
    <xf numFmtId="14" fontId="0" fillId="0" borderId="0" xfId="0" applyNumberFormat="1" applyBorder="1" applyAlignment="1" applyProtection="1">
      <alignment horizontal="center"/>
    </xf>
    <xf numFmtId="0" fontId="20" fillId="0" borderId="4" xfId="0" applyFont="1" applyBorder="1" applyProtection="1"/>
    <xf numFmtId="0" fontId="20" fillId="0" borderId="0" xfId="0" applyFont="1" applyBorder="1" applyProtection="1"/>
    <xf numFmtId="0" fontId="20" fillId="0" borderId="5" xfId="0" applyFont="1" applyBorder="1" applyProtection="1"/>
    <xf numFmtId="0" fontId="21" fillId="0" borderId="0" xfId="0" applyFont="1" applyBorder="1" applyProtection="1"/>
    <xf numFmtId="0" fontId="21" fillId="0" borderId="6" xfId="0" applyFont="1" applyBorder="1" applyProtection="1"/>
    <xf numFmtId="0" fontId="21" fillId="0" borderId="8" xfId="0" applyFont="1" applyBorder="1" applyAlignment="1" applyProtection="1">
      <alignment horizontal="center"/>
    </xf>
    <xf numFmtId="43" fontId="21" fillId="0" borderId="0" xfId="1" applyFont="1" applyBorder="1" applyProtection="1"/>
    <xf numFmtId="43" fontId="21" fillId="0" borderId="5" xfId="1" applyFont="1" applyBorder="1" applyProtection="1"/>
    <xf numFmtId="0" fontId="21" fillId="0" borderId="16" xfId="0" applyFont="1" applyBorder="1" applyAlignment="1" applyProtection="1">
      <alignment horizontal="center"/>
    </xf>
    <xf numFmtId="43" fontId="21" fillId="0" borderId="9" xfId="1" applyFont="1" applyBorder="1" applyProtection="1"/>
    <xf numFmtId="43" fontId="21" fillId="0" borderId="17" xfId="1" applyFont="1" applyBorder="1" applyProtection="1"/>
    <xf numFmtId="0" fontId="21" fillId="0" borderId="0" xfId="3" applyNumberFormat="1" applyFont="1" applyBorder="1" applyAlignment="1" applyProtection="1">
      <alignment horizontal="left"/>
    </xf>
    <xf numFmtId="43" fontId="21" fillId="0" borderId="0" xfId="1" applyFont="1" applyFill="1" applyBorder="1" applyProtection="1"/>
    <xf numFmtId="0" fontId="21" fillId="0" borderId="16" xfId="3" applyNumberFormat="1" applyFont="1" applyBorder="1" applyAlignment="1" applyProtection="1">
      <alignment horizontal="right"/>
    </xf>
    <xf numFmtId="0" fontId="21" fillId="0" borderId="9" xfId="3" applyNumberFormat="1" applyFont="1" applyBorder="1" applyAlignment="1" applyProtection="1">
      <alignment horizontal="left"/>
    </xf>
    <xf numFmtId="43" fontId="21" fillId="0" borderId="9" xfId="1" applyFont="1" applyFill="1" applyBorder="1" applyProtection="1"/>
    <xf numFmtId="0" fontId="21" fillId="0" borderId="15" xfId="0" applyFont="1" applyBorder="1" applyProtection="1"/>
    <xf numFmtId="43" fontId="21" fillId="0" borderId="15" xfId="1" applyFont="1" applyBorder="1" applyProtection="1"/>
    <xf numFmtId="43" fontId="22" fillId="0" borderId="18" xfId="1" applyFont="1" applyBorder="1" applyProtection="1"/>
    <xf numFmtId="0" fontId="20" fillId="0" borderId="6" xfId="0" applyFont="1" applyBorder="1" applyProtection="1"/>
    <xf numFmtId="0" fontId="20" fillId="0" borderId="7" xfId="0" applyFont="1" applyBorder="1" applyProtection="1"/>
    <xf numFmtId="0" fontId="20" fillId="0" borderId="8" xfId="0" applyFont="1" applyBorder="1" applyProtection="1"/>
    <xf numFmtId="4" fontId="4" fillId="4" borderId="0" xfId="4" applyNumberFormat="1" applyFont="1" applyFill="1" applyAlignment="1" applyProtection="1">
      <alignment horizontal="left"/>
      <protection locked="0"/>
    </xf>
    <xf numFmtId="0" fontId="25" fillId="0" borderId="0" xfId="4" applyFont="1" applyAlignment="1">
      <alignment horizontal="left"/>
    </xf>
    <xf numFmtId="0" fontId="19" fillId="0" borderId="0" xfId="4" applyFont="1"/>
    <xf numFmtId="0" fontId="19" fillId="0" borderId="0" xfId="4" applyFont="1" applyProtection="1">
      <protection hidden="1"/>
    </xf>
    <xf numFmtId="0" fontId="4" fillId="0" borderId="0" xfId="4" applyFont="1" applyProtection="1">
      <protection hidden="1"/>
    </xf>
    <xf numFmtId="0" fontId="26" fillId="0" borderId="0" xfId="4" applyFont="1" applyProtection="1">
      <protection hidden="1"/>
    </xf>
    <xf numFmtId="0" fontId="27" fillId="0" borderId="0" xfId="4" applyFont="1" applyProtection="1">
      <protection hidden="1"/>
    </xf>
    <xf numFmtId="0" fontId="19" fillId="0" borderId="0" xfId="4" quotePrefix="1" applyFont="1"/>
    <xf numFmtId="0" fontId="19" fillId="0" borderId="0" xfId="4" applyNumberFormat="1" applyFont="1" applyProtection="1">
      <protection hidden="1"/>
    </xf>
    <xf numFmtId="167" fontId="28" fillId="0" borderId="0" xfId="4" applyNumberFormat="1" applyFont="1" applyAlignment="1" applyProtection="1">
      <alignment horizontal="center"/>
      <protection hidden="1"/>
    </xf>
    <xf numFmtId="3" fontId="19" fillId="0" borderId="0" xfId="4" applyNumberFormat="1" applyFont="1" applyProtection="1">
      <protection hidden="1"/>
    </xf>
    <xf numFmtId="0" fontId="29" fillId="0" borderId="0" xfId="4" applyFont="1" applyProtection="1">
      <protection hidden="1"/>
    </xf>
    <xf numFmtId="0" fontId="0" fillId="0" borderId="0" xfId="4" applyFont="1" applyProtection="1"/>
    <xf numFmtId="0" fontId="30" fillId="0" borderId="0" xfId="4" applyFont="1" applyProtection="1">
      <protection hidden="1"/>
    </xf>
    <xf numFmtId="0" fontId="26" fillId="0" borderId="0" xfId="5" applyNumberFormat="1" applyFont="1" applyProtection="1">
      <protection locked="0"/>
    </xf>
    <xf numFmtId="4" fontId="19" fillId="0" borderId="0" xfId="4" applyNumberFormat="1" applyFont="1" applyProtection="1">
      <protection hidden="1"/>
    </xf>
    <xf numFmtId="3" fontId="4" fillId="4" borderId="0" xfId="4" applyNumberFormat="1" applyFont="1" applyFill="1" applyAlignment="1" applyProtection="1">
      <alignment horizontal="left"/>
      <protection locked="0"/>
    </xf>
    <xf numFmtId="168" fontId="4" fillId="4" borderId="0" xfId="4" applyNumberFormat="1" applyFont="1" applyFill="1" applyAlignment="1" applyProtection="1">
      <alignment horizontal="left"/>
      <protection locked="0"/>
    </xf>
    <xf numFmtId="0" fontId="19" fillId="0" borderId="0" xfId="4" applyFont="1" applyProtection="1"/>
    <xf numFmtId="0" fontId="5" fillId="0" borderId="19" xfId="0" applyFont="1" applyBorder="1" applyAlignment="1" applyProtection="1">
      <alignment horizontal="center" vertical="center"/>
    </xf>
    <xf numFmtId="0" fontId="5" fillId="0" borderId="0" xfId="0" applyFont="1" applyBorder="1" applyAlignment="1" applyProtection="1">
      <alignment horizontal="center" vertical="center"/>
    </xf>
    <xf numFmtId="0" fontId="24" fillId="0" borderId="0" xfId="0" applyFont="1" applyBorder="1" applyAlignment="1" applyProtection="1">
      <alignment horizontal="center" vertical="center"/>
    </xf>
    <xf numFmtId="0" fontId="0" fillId="0" borderId="0" xfId="0" applyAlignment="1" applyProtection="1">
      <alignment horizontal="center" vertical="center" wrapText="1"/>
    </xf>
    <xf numFmtId="0" fontId="7" fillId="0" borderId="0" xfId="0" applyFont="1" applyAlignment="1" applyProtection="1">
      <alignment horizontal="center" vertical="center"/>
    </xf>
    <xf numFmtId="0" fontId="5" fillId="0" borderId="0" xfId="6"/>
    <xf numFmtId="0" fontId="36" fillId="0" borderId="0" xfId="0" applyFont="1" applyBorder="1" applyProtection="1"/>
    <xf numFmtId="43" fontId="36" fillId="0" borderId="0" xfId="1" applyFont="1" applyBorder="1" applyAlignment="1" applyProtection="1">
      <alignment horizontal="center"/>
    </xf>
    <xf numFmtId="43" fontId="36" fillId="0" borderId="12" xfId="1" applyFont="1" applyBorder="1" applyProtection="1"/>
    <xf numFmtId="43" fontId="37" fillId="0" borderId="0" xfId="1" applyFont="1" applyBorder="1" applyProtection="1"/>
    <xf numFmtId="0" fontId="37" fillId="0" borderId="0" xfId="0" applyFont="1" applyBorder="1" applyProtection="1"/>
    <xf numFmtId="0" fontId="36" fillId="0" borderId="0" xfId="0" applyFont="1" applyBorder="1" applyAlignment="1" applyProtection="1">
      <alignment wrapText="1"/>
    </xf>
    <xf numFmtId="0" fontId="36" fillId="0" borderId="0" xfId="0" applyFont="1" applyBorder="1" applyAlignment="1" applyProtection="1">
      <alignment horizontal="center" wrapText="1"/>
    </xf>
    <xf numFmtId="165" fontId="13" fillId="0" borderId="5" xfId="0" applyNumberFormat="1" applyFont="1" applyBorder="1" applyAlignment="1" applyProtection="1">
      <alignment horizontal="right"/>
    </xf>
    <xf numFmtId="0" fontId="39" fillId="0" borderId="0" xfId="0" applyFont="1" applyProtection="1"/>
    <xf numFmtId="0" fontId="15" fillId="0" borderId="0" xfId="0" applyFont="1" applyAlignment="1">
      <alignment vertical="center"/>
    </xf>
    <xf numFmtId="0" fontId="36" fillId="0" borderId="0" xfId="0" applyFont="1" applyBorder="1" applyAlignment="1" applyProtection="1">
      <alignment horizontal="left"/>
    </xf>
    <xf numFmtId="0" fontId="35" fillId="0" borderId="0" xfId="0" applyFont="1" applyBorder="1" applyAlignment="1" applyProtection="1">
      <alignment horizontal="center"/>
    </xf>
    <xf numFmtId="0" fontId="35" fillId="0" borderId="0" xfId="0" applyFont="1" applyBorder="1" applyAlignment="1" applyProtection="1">
      <alignment horizontal="left"/>
    </xf>
    <xf numFmtId="0" fontId="35" fillId="0" borderId="0" xfId="0" applyFont="1" applyBorder="1" applyAlignment="1" applyProtection="1">
      <alignment horizontal="right"/>
    </xf>
    <xf numFmtId="0" fontId="0" fillId="0" borderId="0" xfId="0" applyAlignment="1" applyProtection="1">
      <alignment vertical="center"/>
    </xf>
    <xf numFmtId="43" fontId="36" fillId="0" borderId="0" xfId="1" applyFont="1" applyBorder="1" applyAlignment="1" applyProtection="1">
      <alignment horizontal="center" vertical="top"/>
    </xf>
    <xf numFmtId="0" fontId="36" fillId="0" borderId="0" xfId="0" applyFont="1" applyBorder="1" applyAlignment="1" applyProtection="1">
      <alignment horizontal="center" vertical="top"/>
    </xf>
    <xf numFmtId="0" fontId="36" fillId="0" borderId="5" xfId="0" applyFont="1" applyBorder="1" applyAlignment="1" applyProtection="1">
      <alignment horizontal="center" vertical="top"/>
    </xf>
    <xf numFmtId="0" fontId="38" fillId="0" borderId="0" xfId="0" applyFont="1" applyBorder="1" applyAlignment="1" applyProtection="1">
      <alignment horizontal="right"/>
    </xf>
    <xf numFmtId="0" fontId="38" fillId="0" borderId="0" xfId="0" applyFont="1" applyBorder="1" applyAlignment="1" applyProtection="1">
      <alignment horizontal="left"/>
    </xf>
    <xf numFmtId="0" fontId="36" fillId="0" borderId="5" xfId="0" applyFont="1" applyBorder="1" applyAlignment="1" applyProtection="1">
      <alignment horizontal="center" vertical="center"/>
    </xf>
    <xf numFmtId="0" fontId="35" fillId="0" borderId="0" xfId="0" applyFont="1" applyProtection="1"/>
    <xf numFmtId="0" fontId="35" fillId="0" borderId="1" xfId="0" applyFont="1" applyBorder="1" applyProtection="1"/>
    <xf numFmtId="0" fontId="35" fillId="0" borderId="2" xfId="0" applyFont="1" applyBorder="1" applyProtection="1"/>
    <xf numFmtId="0" fontId="35" fillId="0" borderId="3" xfId="0" applyFont="1" applyBorder="1" applyProtection="1"/>
    <xf numFmtId="0" fontId="35" fillId="0" borderId="4" xfId="0" applyFont="1" applyBorder="1" applyProtection="1"/>
    <xf numFmtId="0" fontId="35" fillId="0" borderId="5" xfId="0" applyFont="1" applyBorder="1" applyProtection="1"/>
    <xf numFmtId="0" fontId="35" fillId="0" borderId="0" xfId="0" applyFont="1" applyBorder="1" applyProtection="1"/>
    <xf numFmtId="0" fontId="35" fillId="0" borderId="12" xfId="0" applyFont="1" applyBorder="1" applyProtection="1"/>
    <xf numFmtId="0" fontId="35" fillId="0" borderId="29" xfId="0" applyFont="1" applyBorder="1" applyProtection="1"/>
    <xf numFmtId="0" fontId="35" fillId="0" borderId="6" xfId="0" applyFont="1" applyBorder="1" applyProtection="1"/>
    <xf numFmtId="0" fontId="35" fillId="0" borderId="7" xfId="0" applyFont="1" applyBorder="1" applyProtection="1"/>
    <xf numFmtId="0" fontId="35" fillId="0" borderId="8" xfId="0" applyFont="1" applyBorder="1" applyProtection="1"/>
    <xf numFmtId="0" fontId="38" fillId="0" borderId="0" xfId="0" applyFont="1" applyBorder="1" applyProtection="1"/>
    <xf numFmtId="0" fontId="37" fillId="0" borderId="0" xfId="0" applyFont="1" applyBorder="1" applyAlignment="1" applyProtection="1">
      <alignment horizontal="right"/>
    </xf>
    <xf numFmtId="0" fontId="36" fillId="0" borderId="12" xfId="0" applyFont="1" applyBorder="1" applyProtection="1"/>
    <xf numFmtId="0" fontId="36" fillId="0" borderId="12" xfId="0" applyFont="1" applyBorder="1" applyAlignment="1" applyProtection="1">
      <alignment horizontal="right"/>
    </xf>
    <xf numFmtId="0" fontId="36" fillId="0" borderId="12" xfId="0" applyFont="1" applyBorder="1" applyAlignment="1" applyProtection="1">
      <alignment horizontal="center" vertical="center"/>
    </xf>
    <xf numFmtId="0" fontId="36" fillId="0" borderId="29" xfId="0" applyFont="1" applyBorder="1" applyAlignment="1" applyProtection="1">
      <alignment wrapText="1"/>
    </xf>
    <xf numFmtId="0" fontId="36" fillId="0" borderId="0" xfId="0" applyFont="1" applyBorder="1" applyAlignment="1" applyProtection="1">
      <alignment vertical="top" wrapText="1"/>
    </xf>
    <xf numFmtId="0" fontId="5" fillId="0" borderId="0" xfId="0" applyFont="1" applyAlignment="1" applyProtection="1">
      <alignment wrapText="1"/>
    </xf>
    <xf numFmtId="0" fontId="35" fillId="0" borderId="4" xfId="0" applyFont="1" applyBorder="1" applyAlignment="1" applyProtection="1">
      <alignment wrapText="1"/>
    </xf>
    <xf numFmtId="0" fontId="35" fillId="0" borderId="0" xfId="0" applyFont="1" applyBorder="1" applyAlignment="1" applyProtection="1">
      <alignment wrapText="1"/>
    </xf>
    <xf numFmtId="0" fontId="35" fillId="0" borderId="5" xfId="0" applyFont="1" applyBorder="1" applyAlignment="1" applyProtection="1">
      <alignment wrapText="1"/>
    </xf>
    <xf numFmtId="0" fontId="0" fillId="0" borderId="0" xfId="0" applyAlignment="1" applyProtection="1">
      <alignment wrapText="1"/>
    </xf>
    <xf numFmtId="0" fontId="36" fillId="0" borderId="5" xfId="0" applyFont="1" applyBorder="1" applyAlignment="1" applyProtection="1">
      <alignment wrapText="1"/>
    </xf>
    <xf numFmtId="43" fontId="37" fillId="0" borderId="5" xfId="1" applyFont="1" applyBorder="1" applyProtection="1"/>
    <xf numFmtId="0" fontId="36" fillId="0" borderId="0" xfId="0" applyFont="1" applyBorder="1" applyAlignment="1" applyProtection="1">
      <alignment horizontal="right" wrapText="1"/>
    </xf>
    <xf numFmtId="173" fontId="36" fillId="0" borderId="0" xfId="0" applyNumberFormat="1" applyFont="1" applyBorder="1" applyAlignment="1" applyProtection="1">
      <alignment wrapText="1"/>
    </xf>
    <xf numFmtId="1" fontId="36" fillId="0" borderId="0" xfId="0" applyNumberFormat="1" applyFont="1" applyBorder="1" applyAlignment="1" applyProtection="1">
      <alignment horizontal="left" wrapText="1"/>
    </xf>
    <xf numFmtId="0" fontId="35" fillId="0" borderId="11" xfId="0" applyFont="1" applyBorder="1" applyAlignment="1" applyProtection="1">
      <alignment horizontal="right"/>
    </xf>
    <xf numFmtId="43" fontId="35" fillId="0" borderId="0" xfId="1" applyFont="1" applyBorder="1" applyProtection="1"/>
    <xf numFmtId="0" fontId="35" fillId="0" borderId="0" xfId="0" applyFont="1" applyAlignment="1" applyProtection="1"/>
    <xf numFmtId="0" fontId="35" fillId="0" borderId="5" xfId="0" applyFont="1" applyBorder="1" applyAlignment="1" applyProtection="1"/>
    <xf numFmtId="0" fontId="20" fillId="0" borderId="0" xfId="0" applyFont="1" applyProtection="1"/>
    <xf numFmtId="0" fontId="20" fillId="0" borderId="1" xfId="0" applyFont="1" applyBorder="1" applyProtection="1"/>
    <xf numFmtId="0" fontId="20" fillId="0" borderId="2" xfId="0" applyFont="1" applyBorder="1" applyProtection="1"/>
    <xf numFmtId="0" fontId="20" fillId="0" borderId="3" xfId="0" applyFont="1" applyBorder="1" applyProtection="1"/>
    <xf numFmtId="0" fontId="21" fillId="0" borderId="7" xfId="0" applyFont="1" applyBorder="1" applyProtection="1"/>
    <xf numFmtId="0" fontId="42" fillId="0" borderId="0" xfId="0" applyFont="1" applyProtection="1"/>
    <xf numFmtId="0" fontId="43" fillId="0" borderId="0" xfId="0" applyFont="1" applyProtection="1"/>
    <xf numFmtId="0" fontId="45" fillId="0" borderId="0" xfId="0" applyFont="1" applyProtection="1"/>
    <xf numFmtId="0" fontId="45" fillId="0" borderId="0" xfId="0" applyFont="1" applyAlignment="1" applyProtection="1">
      <alignment vertical="center"/>
    </xf>
    <xf numFmtId="0" fontId="45" fillId="0" borderId="0" xfId="0" applyFont="1" applyAlignment="1" applyProtection="1">
      <alignment horizontal="center" vertical="center"/>
    </xf>
    <xf numFmtId="0" fontId="45" fillId="0" borderId="7" xfId="0" applyFont="1" applyBorder="1" applyProtection="1"/>
    <xf numFmtId="0" fontId="45" fillId="0" borderId="7" xfId="0" applyFont="1" applyBorder="1" applyAlignment="1" applyProtection="1">
      <alignment vertical="center"/>
    </xf>
    <xf numFmtId="0" fontId="45" fillId="0" borderId="7" xfId="0" applyFont="1" applyBorder="1" applyAlignment="1" applyProtection="1">
      <alignment horizontal="center" vertical="center"/>
    </xf>
    <xf numFmtId="0" fontId="45" fillId="0" borderId="21" xfId="0" applyFont="1" applyBorder="1" applyProtection="1"/>
    <xf numFmtId="0" fontId="45" fillId="0" borderId="21" xfId="0" applyFont="1" applyBorder="1" applyAlignment="1" applyProtection="1">
      <alignment horizontal="center" vertical="center"/>
    </xf>
    <xf numFmtId="0" fontId="45" fillId="0" borderId="21" xfId="0" applyFont="1" applyBorder="1" applyAlignment="1" applyProtection="1">
      <alignment vertical="center"/>
    </xf>
    <xf numFmtId="14" fontId="45" fillId="0" borderId="21" xfId="0" applyNumberFormat="1" applyFont="1" applyBorder="1" applyAlignment="1" applyProtection="1">
      <alignment horizontal="right" vertical="center"/>
    </xf>
    <xf numFmtId="174" fontId="45" fillId="0" borderId="21" xfId="0" applyNumberFormat="1" applyFont="1" applyBorder="1" applyAlignment="1" applyProtection="1">
      <alignment horizontal="left" vertical="center"/>
    </xf>
    <xf numFmtId="1" fontId="45" fillId="0" borderId="21" xfId="1" applyNumberFormat="1" applyFont="1" applyBorder="1" applyAlignment="1" applyProtection="1">
      <alignment horizontal="center" vertical="center"/>
    </xf>
    <xf numFmtId="0" fontId="11" fillId="0" borderId="0" xfId="0" applyFont="1" applyProtection="1"/>
    <xf numFmtId="0" fontId="11" fillId="0" borderId="0" xfId="0" applyFont="1"/>
    <xf numFmtId="0" fontId="47" fillId="0" borderId="0" xfId="0" applyFont="1" applyProtection="1"/>
    <xf numFmtId="0" fontId="20" fillId="0" borderId="33" xfId="0" applyFont="1" applyBorder="1" applyProtection="1"/>
    <xf numFmtId="0" fontId="20" fillId="0" borderId="34" xfId="0" applyFont="1" applyBorder="1" applyProtection="1"/>
    <xf numFmtId="0" fontId="20" fillId="0" borderId="30" xfId="0" applyFont="1" applyBorder="1" applyAlignment="1" applyProtection="1">
      <alignment vertical="top"/>
    </xf>
    <xf numFmtId="0" fontId="20" fillId="0" borderId="35" xfId="0" applyFont="1" applyBorder="1" applyAlignment="1" applyProtection="1">
      <alignment vertical="top"/>
    </xf>
    <xf numFmtId="0" fontId="21" fillId="0" borderId="0" xfId="0" applyFont="1" applyBorder="1" applyAlignment="1" applyProtection="1">
      <alignment vertical="top"/>
    </xf>
    <xf numFmtId="0" fontId="20" fillId="0" borderId="37" xfId="0" applyFont="1" applyBorder="1" applyProtection="1"/>
    <xf numFmtId="0" fontId="49" fillId="0" borderId="38" xfId="0" applyFont="1" applyBorder="1" applyAlignment="1" applyProtection="1">
      <alignment horizontal="left"/>
    </xf>
    <xf numFmtId="0" fontId="20" fillId="0" borderId="39" xfId="0" applyFont="1" applyBorder="1" applyProtection="1"/>
    <xf numFmtId="0" fontId="20" fillId="0" borderId="22" xfId="0" applyFont="1" applyBorder="1" applyProtection="1"/>
    <xf numFmtId="0" fontId="49" fillId="0" borderId="5" xfId="0" applyFont="1" applyBorder="1" applyProtection="1"/>
    <xf numFmtId="0" fontId="49" fillId="0" borderId="5" xfId="0" applyFont="1" applyBorder="1" applyAlignment="1" applyProtection="1">
      <alignment horizontal="left"/>
    </xf>
    <xf numFmtId="0" fontId="20" fillId="0" borderId="23" xfId="0" applyFont="1" applyBorder="1" applyProtection="1"/>
    <xf numFmtId="0" fontId="20" fillId="0" borderId="24" xfId="0" applyFont="1" applyBorder="1" applyProtection="1"/>
    <xf numFmtId="0" fontId="20" fillId="0" borderId="38" xfId="0" applyFont="1" applyBorder="1" applyProtection="1"/>
    <xf numFmtId="0" fontId="20" fillId="0" borderId="36" xfId="0" applyFont="1" applyBorder="1" applyProtection="1"/>
    <xf numFmtId="0" fontId="21" fillId="0" borderId="40" xfId="0" applyFont="1" applyBorder="1" applyAlignment="1" applyProtection="1">
      <alignment vertical="top"/>
    </xf>
    <xf numFmtId="0" fontId="21" fillId="0" borderId="42" xfId="0" applyFont="1" applyBorder="1" applyAlignment="1" applyProtection="1">
      <alignment vertical="top"/>
    </xf>
    <xf numFmtId="0" fontId="21" fillId="0" borderId="43" xfId="0" applyFont="1" applyBorder="1" applyAlignment="1" applyProtection="1">
      <alignment horizontal="center" vertical="top"/>
    </xf>
    <xf numFmtId="0" fontId="49" fillId="0" borderId="35" xfId="0" applyFont="1" applyBorder="1" applyAlignment="1" applyProtection="1"/>
    <xf numFmtId="0" fontId="49" fillId="0" borderId="38" xfId="0" applyFont="1" applyBorder="1" applyAlignment="1" applyProtection="1"/>
    <xf numFmtId="0" fontId="49" fillId="0" borderId="35" xfId="0" applyFont="1" applyBorder="1" applyAlignment="1" applyProtection="1">
      <alignment horizontal="left"/>
    </xf>
    <xf numFmtId="0" fontId="11" fillId="0" borderId="0" xfId="0" applyFont="1" applyFill="1" applyBorder="1" applyAlignment="1" applyProtection="1">
      <alignment horizontal="left"/>
    </xf>
    <xf numFmtId="0" fontId="11" fillId="0" borderId="0" xfId="0" applyFont="1" applyBorder="1" applyAlignment="1" applyProtection="1">
      <alignment horizontal="left"/>
    </xf>
    <xf numFmtId="0" fontId="11" fillId="0" borderId="0" xfId="0" applyFont="1" applyBorder="1" applyAlignment="1" applyProtection="1">
      <alignment horizontal="left" vertical="center" wrapText="1"/>
    </xf>
    <xf numFmtId="0" fontId="11" fillId="0" borderId="0" xfId="0" applyFont="1" applyBorder="1" applyAlignment="1">
      <alignment horizontal="left"/>
    </xf>
    <xf numFmtId="0" fontId="11" fillId="0" borderId="0" xfId="0" applyFont="1" applyBorder="1" applyAlignment="1">
      <alignment horizontal="left" vertical="center"/>
    </xf>
    <xf numFmtId="0" fontId="43" fillId="0" borderId="0" xfId="0" applyFont="1" applyBorder="1" applyProtection="1"/>
    <xf numFmtId="0" fontId="21" fillId="0" borderId="46" xfId="0" applyFont="1" applyBorder="1" applyAlignment="1" applyProtection="1">
      <alignment vertical="top"/>
    </xf>
    <xf numFmtId="0" fontId="20" fillId="0" borderId="46" xfId="0" applyFont="1" applyBorder="1" applyProtection="1"/>
    <xf numFmtId="174" fontId="36" fillId="0" borderId="0" xfId="0" applyNumberFormat="1" applyFont="1" applyBorder="1" applyAlignment="1" applyProtection="1"/>
    <xf numFmtId="0" fontId="5" fillId="0" borderId="0" xfId="6" applyAlignment="1">
      <alignment vertical="center"/>
    </xf>
    <xf numFmtId="0" fontId="36" fillId="0" borderId="0" xfId="0" applyFont="1" applyBorder="1" applyAlignment="1" applyProtection="1">
      <alignment horizontal="center" vertical="top"/>
    </xf>
    <xf numFmtId="0" fontId="36" fillId="0" borderId="0" xfId="0" applyFont="1" applyBorder="1" applyAlignment="1" applyProtection="1">
      <alignment vertical="top"/>
    </xf>
    <xf numFmtId="0" fontId="5" fillId="5" borderId="0" xfId="0" applyFont="1" applyFill="1"/>
    <xf numFmtId="0" fontId="0" fillId="5" borderId="0" xfId="0" applyFill="1"/>
    <xf numFmtId="14" fontId="36" fillId="0" borderId="0" xfId="0" applyNumberFormat="1" applyFont="1" applyBorder="1" applyAlignment="1" applyProtection="1">
      <alignment horizontal="center"/>
    </xf>
    <xf numFmtId="22" fontId="36" fillId="0" borderId="0" xfId="0" applyNumberFormat="1" applyFont="1" applyBorder="1" applyAlignment="1" applyProtection="1">
      <alignment horizontal="right"/>
    </xf>
    <xf numFmtId="1" fontId="38" fillId="0" borderId="0" xfId="0" applyNumberFormat="1" applyFont="1" applyBorder="1" applyAlignment="1" applyProtection="1">
      <alignment horizontal="left"/>
    </xf>
    <xf numFmtId="0" fontId="0" fillId="0" borderId="0" xfId="0" applyBorder="1" applyAlignment="1" applyProtection="1">
      <alignment horizontal="left"/>
    </xf>
    <xf numFmtId="0" fontId="0" fillId="0" borderId="0" xfId="0" applyBorder="1" applyAlignment="1" applyProtection="1">
      <alignment horizontal="center"/>
    </xf>
    <xf numFmtId="0" fontId="52" fillId="0" borderId="0" xfId="0" applyFont="1" applyProtection="1"/>
    <xf numFmtId="0" fontId="52" fillId="0" borderId="1" xfId="0" applyFont="1" applyBorder="1" applyProtection="1"/>
    <xf numFmtId="0" fontId="52" fillId="0" borderId="2" xfId="0" applyFont="1" applyBorder="1" applyProtection="1"/>
    <xf numFmtId="0" fontId="52" fillId="0" borderId="3" xfId="0" applyFont="1" applyBorder="1" applyProtection="1"/>
    <xf numFmtId="0" fontId="52" fillId="0" borderId="4" xfId="0" applyFont="1" applyBorder="1" applyProtection="1"/>
    <xf numFmtId="0" fontId="52" fillId="0" borderId="0" xfId="0" applyFont="1" applyBorder="1" applyProtection="1"/>
    <xf numFmtId="0" fontId="52" fillId="0" borderId="5" xfId="0" applyFont="1" applyBorder="1" applyProtection="1"/>
    <xf numFmtId="2" fontId="52" fillId="0" borderId="0" xfId="0" applyNumberFormat="1" applyFont="1" applyBorder="1" applyProtection="1"/>
    <xf numFmtId="0" fontId="52" fillId="0" borderId="6" xfId="0" applyFont="1" applyBorder="1" applyProtection="1"/>
    <xf numFmtId="0" fontId="52" fillId="0" borderId="7" xfId="0" applyFont="1" applyBorder="1" applyProtection="1"/>
    <xf numFmtId="0" fontId="52" fillId="0" borderId="8" xfId="0" applyFont="1" applyBorder="1" applyProtection="1"/>
    <xf numFmtId="170" fontId="52" fillId="0" borderId="0" xfId="1" applyNumberFormat="1" applyFont="1" applyBorder="1" applyAlignment="1" applyProtection="1">
      <alignment horizontal="right"/>
    </xf>
    <xf numFmtId="0" fontId="0" fillId="0" borderId="10" xfId="0" applyBorder="1" applyProtection="1"/>
    <xf numFmtId="0" fontId="9" fillId="0" borderId="49" xfId="0" applyFont="1" applyBorder="1" applyProtection="1"/>
    <xf numFmtId="0" fontId="9" fillId="0" borderId="49" xfId="0" applyFont="1" applyFill="1" applyBorder="1" applyAlignment="1" applyProtection="1">
      <alignment horizontal="center"/>
    </xf>
    <xf numFmtId="0" fontId="9" fillId="0" borderId="49" xfId="0" applyFont="1" applyBorder="1" applyAlignment="1" applyProtection="1">
      <alignment horizontal="center"/>
    </xf>
    <xf numFmtId="0" fontId="0" fillId="0" borderId="47" xfId="0" applyBorder="1" applyProtection="1"/>
    <xf numFmtId="0" fontId="3" fillId="0" borderId="0" xfId="0" applyFont="1" applyBorder="1" applyAlignment="1" applyProtection="1">
      <alignment vertical="center"/>
    </xf>
    <xf numFmtId="0" fontId="7" fillId="0" borderId="0" xfId="0" applyFont="1" applyBorder="1" applyAlignment="1" applyProtection="1">
      <alignment vertical="center"/>
    </xf>
    <xf numFmtId="177" fontId="37" fillId="0" borderId="0" xfId="1" applyNumberFormat="1" applyFont="1" applyBorder="1" applyAlignment="1" applyProtection="1">
      <alignment horizontal="right" vertical="top"/>
    </xf>
    <xf numFmtId="177" fontId="35" fillId="0" borderId="11" xfId="1" applyNumberFormat="1" applyFont="1" applyBorder="1" applyProtection="1"/>
    <xf numFmtId="177" fontId="35" fillId="0" borderId="0" xfId="1" applyNumberFormat="1" applyFont="1" applyBorder="1" applyProtection="1"/>
    <xf numFmtId="0" fontId="20" fillId="0" borderId="48" xfId="0" applyFont="1" applyBorder="1" applyProtection="1"/>
    <xf numFmtId="43" fontId="35" fillId="0" borderId="0" xfId="1" quotePrefix="1" applyFont="1" applyProtection="1"/>
    <xf numFmtId="178" fontId="35" fillId="0" borderId="0" xfId="1" applyNumberFormat="1" applyFont="1" applyProtection="1"/>
    <xf numFmtId="166" fontId="53" fillId="0" borderId="5" xfId="1" applyNumberFormat="1" applyFont="1" applyBorder="1" applyProtection="1"/>
    <xf numFmtId="0" fontId="5" fillId="0" borderId="0" xfId="6" applyFill="1"/>
    <xf numFmtId="0" fontId="35" fillId="0" borderId="0" xfId="0" applyFont="1" applyBorder="1" applyAlignment="1" applyProtection="1">
      <alignment horizontal="center"/>
    </xf>
    <xf numFmtId="0" fontId="52" fillId="0" borderId="0" xfId="0" applyFont="1" applyBorder="1" applyAlignment="1" applyProtection="1">
      <alignment horizontal="center"/>
    </xf>
    <xf numFmtId="0" fontId="21" fillId="0" borderId="7" xfId="0" applyFont="1" applyBorder="1" applyAlignment="1" applyProtection="1">
      <alignment horizontal="center"/>
    </xf>
    <xf numFmtId="0" fontId="21" fillId="0" borderId="0" xfId="0" applyFont="1" applyBorder="1" applyAlignment="1" applyProtection="1">
      <alignment horizontal="center" vertical="top" wrapText="1"/>
    </xf>
    <xf numFmtId="0" fontId="21" fillId="0" borderId="5" xfId="0" applyFont="1" applyBorder="1" applyAlignment="1" applyProtection="1">
      <alignment horizontal="center" vertical="top" wrapText="1"/>
    </xf>
    <xf numFmtId="0" fontId="21" fillId="0" borderId="0" xfId="0" applyFont="1" applyBorder="1" applyAlignment="1" applyProtection="1">
      <alignment horizontal="center"/>
    </xf>
    <xf numFmtId="0" fontId="21" fillId="0" borderId="0" xfId="0" applyFont="1" applyBorder="1" applyAlignment="1" applyProtection="1">
      <alignment vertical="top" wrapText="1"/>
    </xf>
    <xf numFmtId="0" fontId="21" fillId="0" borderId="5" xfId="0" applyFont="1" applyBorder="1" applyAlignment="1" applyProtection="1">
      <alignment vertical="top" wrapText="1"/>
    </xf>
    <xf numFmtId="0" fontId="21" fillId="0" borderId="7" xfId="0" applyFont="1" applyBorder="1" applyAlignment="1" applyProtection="1">
      <alignment vertical="top" wrapText="1"/>
    </xf>
    <xf numFmtId="0" fontId="21" fillId="0" borderId="8" xfId="0" applyFont="1" applyBorder="1" applyAlignment="1" applyProtection="1">
      <alignment vertical="top" wrapText="1"/>
    </xf>
    <xf numFmtId="0" fontId="46" fillId="0" borderId="0" xfId="0" applyFont="1" applyBorder="1" applyAlignment="1" applyProtection="1">
      <alignment horizontal="center" vertical="top"/>
    </xf>
    <xf numFmtId="0" fontId="55" fillId="0" borderId="0" xfId="6" applyFont="1" applyAlignment="1">
      <alignment horizontal="center" vertical="center"/>
    </xf>
    <xf numFmtId="0" fontId="35" fillId="0" borderId="0" xfId="0" applyFont="1" applyBorder="1" applyAlignment="1" applyProtection="1">
      <alignment horizontal="left"/>
    </xf>
    <xf numFmtId="0" fontId="5" fillId="0" borderId="0" xfId="6" applyAlignment="1">
      <alignment horizontal="left" vertical="center"/>
    </xf>
    <xf numFmtId="0" fontId="21" fillId="0" borderId="9" xfId="0" applyFont="1" applyBorder="1" applyAlignment="1" applyProtection="1">
      <alignment horizontal="center"/>
    </xf>
    <xf numFmtId="0" fontId="21" fillId="0" borderId="0" xfId="3" applyNumberFormat="1" applyFont="1" applyBorder="1" applyAlignment="1" applyProtection="1">
      <alignment horizontal="right"/>
    </xf>
    <xf numFmtId="0" fontId="21" fillId="0" borderId="9" xfId="3" applyNumberFormat="1" applyFont="1" applyBorder="1" applyAlignment="1" applyProtection="1">
      <alignment horizontal="right"/>
    </xf>
    <xf numFmtId="0" fontId="56" fillId="0" borderId="0" xfId="0" applyFont="1" applyFill="1" applyProtection="1"/>
    <xf numFmtId="0" fontId="59" fillId="0" borderId="0" xfId="0" applyFont="1" applyFill="1" applyProtection="1"/>
    <xf numFmtId="0" fontId="61" fillId="0" borderId="0" xfId="0" applyFont="1" applyFill="1" applyBorder="1"/>
    <xf numFmtId="0" fontId="62" fillId="0" borderId="0" xfId="0" applyFont="1" applyFill="1" applyProtection="1"/>
    <xf numFmtId="0" fontId="58" fillId="0" borderId="0" xfId="0" applyFont="1" applyFill="1" applyBorder="1" applyAlignment="1">
      <alignment horizontal="left" vertical="center" wrapText="1"/>
    </xf>
    <xf numFmtId="0" fontId="62" fillId="0" borderId="0" xfId="0" applyFont="1" applyFill="1" applyBorder="1" applyProtection="1"/>
    <xf numFmtId="0" fontId="61" fillId="0" borderId="0" xfId="0" applyFont="1" applyFill="1" applyBorder="1" applyProtection="1"/>
    <xf numFmtId="0" fontId="55" fillId="0" borderId="0" xfId="0" applyFont="1" applyFill="1" applyBorder="1" applyAlignment="1" applyProtection="1">
      <alignment vertical="center"/>
    </xf>
    <xf numFmtId="0" fontId="62" fillId="0" borderId="0" xfId="0" applyFont="1" applyFill="1" applyBorder="1" applyAlignment="1" applyProtection="1">
      <alignment vertical="center"/>
    </xf>
    <xf numFmtId="0" fontId="63" fillId="0" borderId="0" xfId="0" applyFont="1" applyFill="1" applyAlignment="1" applyProtection="1">
      <alignment horizontal="left"/>
    </xf>
    <xf numFmtId="0" fontId="62" fillId="0" borderId="0" xfId="0" applyFont="1" applyProtection="1"/>
    <xf numFmtId="0" fontId="62" fillId="0" borderId="0" xfId="0" applyFont="1" applyAlignment="1" applyProtection="1">
      <alignment horizontal="left"/>
    </xf>
    <xf numFmtId="0" fontId="62" fillId="0" borderId="0" xfId="0" applyFont="1" applyFill="1" applyAlignment="1" applyProtection="1">
      <alignment horizontal="left"/>
    </xf>
    <xf numFmtId="0" fontId="62" fillId="0" borderId="0" xfId="0" applyFont="1"/>
    <xf numFmtId="14" fontId="62" fillId="0" borderId="0" xfId="0" applyNumberFormat="1" applyFont="1" applyFill="1" applyAlignment="1" applyProtection="1">
      <alignment horizontal="left"/>
    </xf>
    <xf numFmtId="0" fontId="62" fillId="0" borderId="0" xfId="0" applyFont="1" applyAlignment="1" applyProtection="1">
      <alignment vertical="center"/>
    </xf>
    <xf numFmtId="0" fontId="62" fillId="0" borderId="0" xfId="0" applyFont="1" applyAlignment="1" applyProtection="1">
      <alignment horizontal="center"/>
    </xf>
    <xf numFmtId="0" fontId="62" fillId="0" borderId="0" xfId="0" applyFont="1" applyFill="1" applyAlignment="1" applyProtection="1">
      <alignment horizontal="center"/>
    </xf>
    <xf numFmtId="0" fontId="62" fillId="2" borderId="26" xfId="0" applyFont="1" applyFill="1" applyBorder="1" applyAlignment="1" applyProtection="1">
      <alignment horizontal="center"/>
      <protection locked="0"/>
    </xf>
    <xf numFmtId="0" fontId="62" fillId="0" borderId="0" xfId="0" applyFont="1" applyFill="1" applyBorder="1" applyAlignment="1" applyProtection="1">
      <alignment horizontal="center"/>
    </xf>
    <xf numFmtId="0" fontId="62" fillId="2" borderId="27" xfId="0" applyFont="1" applyFill="1" applyBorder="1" applyAlignment="1" applyProtection="1">
      <alignment horizontal="center"/>
      <protection locked="0"/>
    </xf>
    <xf numFmtId="0" fontId="62" fillId="2" borderId="28" xfId="0" applyFont="1" applyFill="1" applyBorder="1" applyAlignment="1" applyProtection="1">
      <alignment horizontal="center"/>
      <protection locked="0"/>
    </xf>
    <xf numFmtId="0" fontId="64" fillId="0" borderId="0" xfId="0" applyFont="1" applyProtection="1"/>
    <xf numFmtId="0" fontId="65" fillId="0" borderId="0" xfId="0" applyFont="1" applyProtection="1"/>
    <xf numFmtId="0" fontId="66" fillId="0" borderId="0" xfId="0" applyFont="1" applyAlignment="1" applyProtection="1">
      <alignment horizontal="left" vertical="center" wrapText="1"/>
    </xf>
    <xf numFmtId="0" fontId="66" fillId="0" borderId="0" xfId="0" applyFont="1" applyAlignment="1" applyProtection="1">
      <alignment horizontal="left" wrapText="1"/>
    </xf>
    <xf numFmtId="0" fontId="62" fillId="0" borderId="0" xfId="0" applyFont="1" applyAlignment="1" applyProtection="1">
      <alignment wrapText="1"/>
    </xf>
    <xf numFmtId="0" fontId="62" fillId="0" borderId="0" xfId="0" applyFont="1" applyAlignment="1" applyProtection="1">
      <alignment horizontal="left" wrapText="1"/>
    </xf>
    <xf numFmtId="43" fontId="62" fillId="2" borderId="27" xfId="1" applyFont="1" applyFill="1" applyBorder="1" applyProtection="1">
      <protection locked="0"/>
    </xf>
    <xf numFmtId="43" fontId="62" fillId="2" borderId="28" xfId="1" applyFont="1" applyFill="1" applyBorder="1" applyProtection="1">
      <protection locked="0"/>
    </xf>
    <xf numFmtId="49" fontId="62" fillId="0" borderId="0" xfId="0" applyNumberFormat="1" applyFont="1" applyFill="1" applyAlignment="1" applyProtection="1">
      <alignment horizontal="left"/>
    </xf>
    <xf numFmtId="0" fontId="68" fillId="0" borderId="0" xfId="4" applyFont="1" applyProtection="1"/>
    <xf numFmtId="0" fontId="55" fillId="0" borderId="0" xfId="0" applyFont="1" applyAlignment="1" applyProtection="1">
      <alignment vertical="center"/>
    </xf>
    <xf numFmtId="4" fontId="68" fillId="0" borderId="0" xfId="4" applyNumberFormat="1" applyFont="1" applyProtection="1"/>
    <xf numFmtId="3" fontId="64" fillId="4" borderId="0" xfId="4" applyNumberFormat="1" applyFont="1" applyFill="1" applyAlignment="1" applyProtection="1">
      <alignment horizontal="left"/>
    </xf>
    <xf numFmtId="4" fontId="64" fillId="4" borderId="0" xfId="4" applyNumberFormat="1" applyFont="1" applyFill="1" applyAlignment="1" applyProtection="1">
      <alignment horizontal="left"/>
    </xf>
    <xf numFmtId="0" fontId="69" fillId="0" borderId="0" xfId="4" applyFont="1" applyAlignment="1" applyProtection="1">
      <alignment horizontal="left"/>
    </xf>
    <xf numFmtId="168" fontId="64" fillId="4" borderId="0" xfId="4" applyNumberFormat="1" applyFont="1" applyFill="1" applyAlignment="1" applyProtection="1">
      <alignment horizontal="left"/>
    </xf>
    <xf numFmtId="0" fontId="64" fillId="0" borderId="0" xfId="4" applyFont="1" applyProtection="1"/>
    <xf numFmtId="0" fontId="70" fillId="0" borderId="0" xfId="4" applyFont="1" applyProtection="1"/>
    <xf numFmtId="0" fontId="71" fillId="0" borderId="0" xfId="4" applyFont="1" applyProtection="1"/>
    <xf numFmtId="0" fontId="68" fillId="0" borderId="0" xfId="4" quotePrefix="1" applyFont="1" applyProtection="1"/>
    <xf numFmtId="0" fontId="68" fillId="0" borderId="0" xfId="4" applyNumberFormat="1" applyFont="1" applyProtection="1"/>
    <xf numFmtId="167" fontId="72" fillId="0" borderId="0" xfId="4" applyNumberFormat="1" applyFont="1" applyAlignment="1" applyProtection="1">
      <alignment horizontal="center"/>
    </xf>
    <xf numFmtId="3" fontId="68" fillId="0" borderId="0" xfId="4" applyNumberFormat="1" applyFont="1" applyProtection="1"/>
    <xf numFmtId="0" fontId="63" fillId="0" borderId="0" xfId="0" applyFont="1" applyFill="1" applyBorder="1" applyAlignment="1" applyProtection="1">
      <alignment horizontal="left"/>
    </xf>
    <xf numFmtId="0" fontId="62" fillId="0" borderId="0" xfId="0" applyFont="1" applyFill="1" applyBorder="1" applyAlignment="1" applyProtection="1">
      <alignment horizontal="left"/>
    </xf>
    <xf numFmtId="14" fontId="62" fillId="0" borderId="0" xfId="0" applyNumberFormat="1" applyFont="1" applyFill="1" applyBorder="1" applyAlignment="1" applyProtection="1">
      <alignment horizontal="left"/>
    </xf>
    <xf numFmtId="43" fontId="62" fillId="0" borderId="0" xfId="0" applyNumberFormat="1" applyFont="1" applyProtection="1"/>
    <xf numFmtId="0" fontId="62" fillId="0" borderId="0" xfId="0" applyFont="1" applyAlignment="1" applyProtection="1">
      <alignment vertical="top"/>
    </xf>
    <xf numFmtId="14" fontId="62" fillId="0" borderId="0" xfId="0" applyNumberFormat="1" applyFont="1" applyProtection="1"/>
    <xf numFmtId="0" fontId="73" fillId="0" borderId="0" xfId="0" applyFont="1" applyProtection="1"/>
    <xf numFmtId="0" fontId="62" fillId="0" borderId="0" xfId="0" applyFont="1" applyAlignment="1" applyProtection="1"/>
    <xf numFmtId="173" fontId="62" fillId="0" borderId="0" xfId="0" applyNumberFormat="1" applyFont="1" applyProtection="1"/>
    <xf numFmtId="0" fontId="62" fillId="0" borderId="0" xfId="0" applyFont="1" applyBorder="1" applyProtection="1"/>
    <xf numFmtId="43" fontId="62" fillId="0" borderId="0" xfId="1" applyFont="1" applyProtection="1"/>
    <xf numFmtId="0" fontId="74" fillId="0" borderId="0" xfId="0" applyFont="1" applyProtection="1"/>
    <xf numFmtId="176" fontId="74" fillId="0" borderId="0" xfId="1" applyNumberFormat="1" applyFont="1" applyProtection="1"/>
    <xf numFmtId="43" fontId="62" fillId="2" borderId="26" xfId="1" applyFont="1" applyFill="1" applyBorder="1" applyAlignment="1" applyProtection="1">
      <protection locked="0"/>
    </xf>
    <xf numFmtId="0" fontId="65" fillId="0" borderId="0" xfId="0" applyFont="1" applyAlignment="1" applyProtection="1">
      <alignment horizontal="center"/>
    </xf>
    <xf numFmtId="43" fontId="74" fillId="0" borderId="0" xfId="1" applyFont="1" applyProtection="1"/>
    <xf numFmtId="0" fontId="55" fillId="0" borderId="0" xfId="0" applyFont="1"/>
    <xf numFmtId="1" fontId="66" fillId="0" borderId="0" xfId="0" applyNumberFormat="1" applyFont="1" applyAlignment="1" applyProtection="1">
      <alignment horizontal="center"/>
    </xf>
    <xf numFmtId="0" fontId="62" fillId="0" borderId="0" xfId="0" applyFont="1" applyAlignment="1">
      <alignment horizontal="left"/>
    </xf>
    <xf numFmtId="0" fontId="62" fillId="0" borderId="0" xfId="6" applyFont="1" applyAlignment="1">
      <alignment vertical="center"/>
    </xf>
    <xf numFmtId="0" fontId="62" fillId="0" borderId="0" xfId="6" applyFont="1"/>
    <xf numFmtId="0" fontId="62" fillId="0" borderId="0" xfId="6" applyFont="1" applyAlignment="1">
      <alignment horizontal="left" vertical="center" wrapText="1"/>
    </xf>
    <xf numFmtId="0" fontId="62" fillId="0" borderId="0" xfId="6" applyFont="1" applyAlignment="1">
      <alignment horizontal="left"/>
    </xf>
    <xf numFmtId="0" fontId="62" fillId="0" borderId="0" xfId="6" applyFont="1" applyAlignment="1">
      <alignment vertical="center" wrapText="1"/>
    </xf>
    <xf numFmtId="0" fontId="76" fillId="0" borderId="0" xfId="7" applyFont="1" applyProtection="1"/>
    <xf numFmtId="0" fontId="77" fillId="0" borderId="0" xfId="7" applyFont="1" applyProtection="1"/>
    <xf numFmtId="0" fontId="60" fillId="0" borderId="0" xfId="0" applyFont="1" applyFill="1" applyBorder="1" applyAlignment="1" applyProtection="1">
      <alignment horizontal="left"/>
    </xf>
    <xf numFmtId="0" fontId="76" fillId="0" borderId="0" xfId="7" applyFont="1" applyAlignment="1" applyProtection="1">
      <alignment horizontal="left"/>
    </xf>
    <xf numFmtId="0" fontId="67" fillId="0" borderId="0" xfId="7" applyFont="1" applyBorder="1" applyAlignment="1" applyProtection="1">
      <alignment horizontal="left" vertical="center" wrapText="1"/>
    </xf>
    <xf numFmtId="0" fontId="67" fillId="0" borderId="0" xfId="7" applyFont="1" applyBorder="1" applyAlignment="1" applyProtection="1">
      <alignment vertical="center" wrapText="1"/>
    </xf>
    <xf numFmtId="165" fontId="67" fillId="0" borderId="0" xfId="7" applyNumberFormat="1" applyFont="1" applyAlignment="1" applyProtection="1">
      <alignment horizontal="left" vertical="center"/>
    </xf>
    <xf numFmtId="0" fontId="79" fillId="0" borderId="0" xfId="0" applyFont="1"/>
    <xf numFmtId="0" fontId="67" fillId="0" borderId="0" xfId="7" applyFont="1" applyProtection="1"/>
    <xf numFmtId="0" fontId="79" fillId="0" borderId="0" xfId="7" applyFont="1" applyProtection="1"/>
    <xf numFmtId="49" fontId="67" fillId="0" borderId="0" xfId="7" applyNumberFormat="1" applyFont="1" applyProtection="1"/>
    <xf numFmtId="0" fontId="80" fillId="0" borderId="0" xfId="0" applyFont="1" applyFill="1" applyAlignment="1" applyProtection="1">
      <alignment horizontal="left"/>
    </xf>
    <xf numFmtId="0" fontId="79" fillId="0" borderId="0" xfId="0" applyFont="1" applyProtection="1"/>
    <xf numFmtId="0" fontId="79" fillId="0" borderId="0" xfId="0" applyFont="1" applyFill="1" applyProtection="1"/>
    <xf numFmtId="0" fontId="79" fillId="0" borderId="0" xfId="0" applyFont="1" applyAlignment="1" applyProtection="1">
      <alignment horizontal="left"/>
    </xf>
    <xf numFmtId="0" fontId="77" fillId="0" borderId="0" xfId="4" applyFont="1" applyProtection="1"/>
    <xf numFmtId="0" fontId="82" fillId="0" borderId="0" xfId="4" applyFont="1" applyProtection="1"/>
    <xf numFmtId="0" fontId="75" fillId="0" borderId="60" xfId="0" applyFont="1" applyFill="1" applyBorder="1" applyAlignment="1">
      <alignment horizontal="left" vertical="top"/>
    </xf>
    <xf numFmtId="0" fontId="84" fillId="0" borderId="0" xfId="0" applyFont="1" applyFill="1" applyProtection="1"/>
    <xf numFmtId="0" fontId="83" fillId="0" borderId="0" xfId="2" quotePrefix="1" applyFont="1" applyFill="1" applyAlignment="1" applyProtection="1">
      <alignment horizontal="center" vertical="center"/>
    </xf>
    <xf numFmtId="0" fontId="62" fillId="11" borderId="27" xfId="0" applyFont="1" applyFill="1" applyBorder="1" applyAlignment="1" applyProtection="1">
      <alignment horizontal="left" vertical="center"/>
      <protection locked="0"/>
    </xf>
    <xf numFmtId="0" fontId="62" fillId="11" borderId="26" xfId="0" applyFont="1" applyFill="1" applyBorder="1" applyAlignment="1" applyProtection="1">
      <alignment horizontal="left"/>
      <protection locked="0"/>
    </xf>
    <xf numFmtId="0" fontId="62" fillId="11" borderId="26" xfId="0" applyFont="1" applyFill="1" applyBorder="1" applyAlignment="1" applyProtection="1">
      <alignment horizontal="center"/>
      <protection locked="0"/>
    </xf>
    <xf numFmtId="0" fontId="62" fillId="11" borderId="27" xfId="0" applyFont="1" applyFill="1" applyBorder="1" applyAlignment="1" applyProtection="1">
      <alignment horizontal="left"/>
      <protection locked="0"/>
    </xf>
    <xf numFmtId="0" fontId="62" fillId="11" borderId="27" xfId="0" applyFont="1" applyFill="1" applyBorder="1" applyAlignment="1" applyProtection="1">
      <alignment horizontal="center"/>
      <protection locked="0"/>
    </xf>
    <xf numFmtId="0" fontId="62" fillId="11" borderId="28" xfId="0" applyFont="1" applyFill="1" applyBorder="1" applyAlignment="1" applyProtection="1">
      <alignment horizontal="left"/>
      <protection locked="0"/>
    </xf>
    <xf numFmtId="0" fontId="62" fillId="11" borderId="28" xfId="0" applyFont="1" applyFill="1" applyBorder="1" applyAlignment="1" applyProtection="1">
      <alignment horizontal="center"/>
      <protection locked="0"/>
    </xf>
    <xf numFmtId="0" fontId="62" fillId="11" borderId="26" xfId="0" applyFont="1" applyFill="1" applyBorder="1" applyAlignment="1" applyProtection="1">
      <alignment horizontal="left"/>
      <protection locked="0"/>
    </xf>
    <xf numFmtId="2" fontId="62" fillId="11" borderId="27" xfId="0" applyNumberFormat="1" applyFont="1" applyFill="1" applyBorder="1" applyAlignment="1" applyProtection="1">
      <alignment horizontal="left"/>
      <protection locked="0"/>
    </xf>
    <xf numFmtId="43" fontId="62" fillId="11" borderId="26" xfId="1" applyFont="1" applyFill="1" applyBorder="1" applyAlignment="1" applyProtection="1">
      <alignment horizontal="left"/>
      <protection locked="0"/>
    </xf>
    <xf numFmtId="43" fontId="62" fillId="11" borderId="27" xfId="1" applyFont="1" applyFill="1" applyBorder="1" applyAlignment="1" applyProtection="1">
      <alignment horizontal="left"/>
      <protection locked="0"/>
    </xf>
    <xf numFmtId="43" fontId="62" fillId="11" borderId="28" xfId="1" applyFont="1" applyFill="1" applyBorder="1" applyAlignment="1" applyProtection="1">
      <alignment horizontal="left"/>
      <protection locked="0"/>
    </xf>
    <xf numFmtId="14" fontId="62" fillId="8" borderId="27" xfId="0" applyNumberFormat="1" applyFont="1" applyFill="1" applyBorder="1" applyAlignment="1" applyProtection="1">
      <alignment horizontal="left"/>
      <protection locked="0"/>
    </xf>
    <xf numFmtId="4" fontId="62" fillId="11" borderId="26" xfId="0" applyNumberFormat="1" applyFont="1" applyFill="1" applyBorder="1" applyAlignment="1" applyProtection="1">
      <alignment horizontal="left"/>
      <protection locked="0"/>
    </xf>
    <xf numFmtId="0" fontId="62" fillId="10" borderId="26" xfId="0" applyFont="1" applyFill="1" applyBorder="1" applyAlignment="1" applyProtection="1">
      <alignment horizontal="left"/>
      <protection locked="0"/>
    </xf>
    <xf numFmtId="175" fontId="62" fillId="10" borderId="27" xfId="0" applyNumberFormat="1" applyFont="1" applyFill="1" applyBorder="1" applyAlignment="1" applyProtection="1">
      <alignment horizontal="left"/>
      <protection locked="0"/>
    </xf>
    <xf numFmtId="0" fontId="62" fillId="8" borderId="27" xfId="0" applyFont="1" applyFill="1" applyBorder="1" applyAlignment="1" applyProtection="1">
      <alignment horizontal="left"/>
      <protection locked="0"/>
    </xf>
    <xf numFmtId="22" fontId="62" fillId="12" borderId="27" xfId="0" applyNumberFormat="1" applyFont="1" applyFill="1" applyBorder="1" applyAlignment="1" applyProtection="1">
      <alignment horizontal="left" vertical="center"/>
      <protection locked="0"/>
    </xf>
    <xf numFmtId="1" fontId="62" fillId="12" borderId="27" xfId="1" applyNumberFormat="1" applyFont="1" applyFill="1" applyBorder="1" applyAlignment="1" applyProtection="1">
      <alignment horizontal="left" vertical="center"/>
      <protection locked="0"/>
    </xf>
    <xf numFmtId="0" fontId="62" fillId="12" borderId="27" xfId="0" applyFont="1" applyFill="1" applyBorder="1" applyAlignment="1" applyProtection="1">
      <alignment horizontal="left"/>
      <protection locked="0"/>
    </xf>
    <xf numFmtId="0" fontId="62" fillId="12" borderId="26" xfId="0" applyFont="1" applyFill="1" applyBorder="1" applyAlignment="1" applyProtection="1">
      <alignment horizontal="left"/>
      <protection locked="0"/>
    </xf>
    <xf numFmtId="49" fontId="62" fillId="12" borderId="27" xfId="0" applyNumberFormat="1" applyFont="1" applyFill="1" applyBorder="1" applyAlignment="1" applyProtection="1">
      <alignment horizontal="left"/>
      <protection locked="0"/>
    </xf>
    <xf numFmtId="14" fontId="62" fillId="8" borderId="27" xfId="0" applyNumberFormat="1" applyFont="1" applyFill="1" applyBorder="1" applyAlignment="1" applyProtection="1">
      <alignment horizontal="left" vertical="center"/>
      <protection locked="0"/>
    </xf>
    <xf numFmtId="0" fontId="62" fillId="8" borderId="28" xfId="0" applyFont="1" applyFill="1" applyBorder="1" applyAlignment="1" applyProtection="1">
      <alignment horizontal="left" vertical="center"/>
      <protection locked="0"/>
    </xf>
    <xf numFmtId="0" fontId="55" fillId="8" borderId="27" xfId="0" applyFont="1" applyFill="1" applyBorder="1" applyAlignment="1" applyProtection="1">
      <alignment horizontal="left" vertical="center"/>
      <protection locked="0"/>
    </xf>
    <xf numFmtId="0" fontId="62" fillId="8" borderId="26" xfId="0" applyFont="1" applyFill="1" applyBorder="1" applyAlignment="1" applyProtection="1">
      <alignment horizontal="left" vertical="center"/>
      <protection locked="0"/>
    </xf>
    <xf numFmtId="0" fontId="62" fillId="8" borderId="27" xfId="0" applyFont="1" applyFill="1" applyBorder="1" applyAlignment="1" applyProtection="1">
      <alignment horizontal="left" vertical="center" wrapText="1"/>
      <protection locked="0"/>
    </xf>
    <xf numFmtId="166" fontId="62" fillId="8" borderId="27" xfId="0" applyNumberFormat="1" applyFont="1" applyFill="1" applyBorder="1" applyAlignment="1" applyProtection="1">
      <alignment horizontal="left"/>
      <protection locked="0"/>
    </xf>
    <xf numFmtId="0" fontId="81" fillId="0" borderId="0" xfId="0" applyFont="1" applyProtection="1"/>
    <xf numFmtId="0" fontId="79" fillId="0" borderId="0" xfId="0" applyFont="1" applyFill="1" applyAlignment="1" applyProtection="1">
      <alignment horizontal="left"/>
    </xf>
    <xf numFmtId="0" fontId="5" fillId="0" borderId="0" xfId="6" applyBorder="1"/>
    <xf numFmtId="172" fontId="86" fillId="3" borderId="0" xfId="1" applyNumberFormat="1" applyFont="1" applyFill="1" applyBorder="1" applyAlignment="1" applyProtection="1">
      <alignment vertical="center"/>
    </xf>
    <xf numFmtId="43" fontId="85" fillId="0" borderId="0" xfId="1" applyFont="1" applyProtection="1"/>
    <xf numFmtId="14" fontId="87" fillId="0" borderId="7" xfId="4" applyNumberFormat="1" applyFont="1" applyBorder="1" applyAlignment="1" applyProtection="1">
      <alignment horizontal="center"/>
    </xf>
    <xf numFmtId="0" fontId="86" fillId="0" borderId="20" xfId="0" applyFont="1" applyBorder="1" applyAlignment="1" applyProtection="1">
      <alignment horizontal="center" vertical="center"/>
    </xf>
    <xf numFmtId="0" fontId="78" fillId="0" borderId="0" xfId="2" quotePrefix="1" applyFont="1" applyFill="1" applyAlignment="1" applyProtection="1">
      <alignment horizontal="center"/>
    </xf>
    <xf numFmtId="14" fontId="44" fillId="0" borderId="0" xfId="0" applyNumberFormat="1" applyFont="1" applyBorder="1" applyAlignment="1" applyProtection="1">
      <alignment horizontal="center" vertical="center"/>
    </xf>
    <xf numFmtId="0" fontId="45" fillId="0" borderId="21" xfId="0" applyFont="1" applyBorder="1" applyAlignment="1" applyProtection="1">
      <alignment horizontal="right" vertical="center"/>
    </xf>
    <xf numFmtId="171" fontId="45" fillId="0" borderId="21" xfId="0" applyNumberFormat="1" applyFont="1" applyBorder="1" applyAlignment="1" applyProtection="1">
      <alignment horizontal="right" vertical="center"/>
    </xf>
    <xf numFmtId="14" fontId="55" fillId="8" borderId="26" xfId="0" applyNumberFormat="1" applyFont="1" applyFill="1" applyBorder="1" applyAlignment="1" applyProtection="1">
      <protection locked="0"/>
    </xf>
    <xf numFmtId="0" fontId="62" fillId="0" borderId="0" xfId="6" applyFont="1" applyAlignment="1">
      <alignment horizontal="left" vertical="center"/>
    </xf>
    <xf numFmtId="1" fontId="87" fillId="0" borderId="7" xfId="4" applyNumberFormat="1" applyFont="1" applyBorder="1" applyAlignment="1" applyProtection="1">
      <alignment horizontal="center"/>
    </xf>
    <xf numFmtId="0" fontId="94" fillId="0" borderId="51" xfId="0" applyFont="1" applyBorder="1" applyProtection="1"/>
    <xf numFmtId="0" fontId="94" fillId="0" borderId="50" xfId="0" applyFont="1" applyBorder="1" applyAlignment="1" applyProtection="1">
      <alignment horizontal="center"/>
    </xf>
    <xf numFmtId="2" fontId="94" fillId="0" borderId="51" xfId="0" applyNumberFormat="1" applyFont="1" applyBorder="1" applyProtection="1"/>
    <xf numFmtId="176" fontId="94" fillId="0" borderId="52" xfId="0" applyNumberFormat="1" applyFont="1" applyBorder="1" applyProtection="1"/>
    <xf numFmtId="0" fontId="94" fillId="0" borderId="53" xfId="0" applyFont="1" applyBorder="1" applyAlignment="1" applyProtection="1">
      <alignment horizontal="center"/>
    </xf>
    <xf numFmtId="0" fontId="94" fillId="0" borderId="54" xfId="0" applyFont="1" applyBorder="1" applyProtection="1"/>
    <xf numFmtId="2" fontId="94" fillId="0" borderId="54" xfId="0" applyNumberFormat="1" applyFont="1" applyBorder="1" applyProtection="1"/>
    <xf numFmtId="176" fontId="94" fillId="0" borderId="55" xfId="0" applyNumberFormat="1" applyFont="1" applyBorder="1" applyProtection="1"/>
    <xf numFmtId="2" fontId="94" fillId="0" borderId="55" xfId="0" applyNumberFormat="1" applyFont="1" applyBorder="1" applyProtection="1"/>
    <xf numFmtId="0" fontId="94" fillId="0" borderId="58" xfId="0" applyFont="1" applyBorder="1" applyAlignment="1" applyProtection="1">
      <alignment horizontal="center"/>
    </xf>
    <xf numFmtId="2" fontId="94" fillId="0" borderId="59" xfId="0" applyNumberFormat="1" applyFont="1" applyBorder="1" applyProtection="1"/>
    <xf numFmtId="2" fontId="94" fillId="0" borderId="56" xfId="0" applyNumberFormat="1" applyFont="1" applyBorder="1" applyProtection="1"/>
    <xf numFmtId="176" fontId="94" fillId="0" borderId="57" xfId="0" applyNumberFormat="1" applyFont="1" applyBorder="1" applyProtection="1"/>
    <xf numFmtId="14" fontId="94" fillId="0" borderId="49" xfId="0" applyNumberFormat="1" applyFont="1" applyBorder="1" applyAlignment="1" applyProtection="1">
      <alignment horizontal="center"/>
    </xf>
    <xf numFmtId="0" fontId="74" fillId="0" borderId="0" xfId="0" applyFont="1"/>
    <xf numFmtId="0" fontId="75" fillId="0" borderId="25" xfId="0" applyFont="1" applyFill="1" applyBorder="1" applyAlignment="1">
      <alignment horizontal="left"/>
    </xf>
    <xf numFmtId="0" fontId="95" fillId="0" borderId="0" xfId="0" quotePrefix="1" applyFont="1" applyAlignment="1">
      <alignment wrapText="1"/>
    </xf>
    <xf numFmtId="0" fontId="96" fillId="0" borderId="0" xfId="0" applyFont="1" applyFill="1" applyBorder="1" applyAlignment="1">
      <alignment vertical="top"/>
    </xf>
    <xf numFmtId="0" fontId="95" fillId="0" borderId="0" xfId="0" applyFont="1" applyAlignment="1" applyProtection="1">
      <alignment horizontal="center"/>
    </xf>
    <xf numFmtId="0" fontId="95" fillId="0" borderId="0" xfId="2" quotePrefix="1" applyFont="1" applyFill="1" applyAlignment="1" applyProtection="1">
      <alignment horizontal="center" vertical="center"/>
    </xf>
    <xf numFmtId="0" fontId="95" fillId="0" borderId="0" xfId="0" applyFont="1" applyAlignment="1" applyProtection="1">
      <alignment horizontal="center" vertical="center"/>
    </xf>
    <xf numFmtId="0" fontId="95" fillId="0" borderId="0" xfId="4" applyFont="1" applyAlignment="1" applyProtection="1">
      <alignment horizontal="center" vertical="center"/>
    </xf>
    <xf numFmtId="0" fontId="95" fillId="0" borderId="0" xfId="0" applyFont="1" applyAlignment="1" applyProtection="1">
      <alignment vertical="center"/>
    </xf>
    <xf numFmtId="0" fontId="95" fillId="0" borderId="0" xfId="2" quotePrefix="1" applyFont="1" applyFill="1" applyAlignment="1" applyProtection="1">
      <alignment horizontal="center" vertical="center"/>
    </xf>
    <xf numFmtId="0" fontId="67" fillId="0" borderId="0" xfId="7" applyFont="1" applyBorder="1" applyAlignment="1" applyProtection="1">
      <alignment horizontal="left" vertical="center" wrapText="1"/>
    </xf>
    <xf numFmtId="0" fontId="76" fillId="0" borderId="0" xfId="7" applyFont="1" applyAlignment="1" applyProtection="1">
      <alignment horizontal="left"/>
    </xf>
    <xf numFmtId="0" fontId="67" fillId="0" borderId="0" xfId="7" applyFont="1" applyBorder="1" applyAlignment="1" applyProtection="1">
      <alignment wrapText="1"/>
    </xf>
    <xf numFmtId="0" fontId="68" fillId="0" borderId="0" xfId="0" applyFont="1" applyAlignment="1">
      <alignment vertical="center"/>
    </xf>
    <xf numFmtId="0" fontId="68" fillId="0" borderId="0" xfId="0" applyFont="1" applyAlignment="1">
      <alignment horizontal="left" vertical="center" indent="4"/>
    </xf>
    <xf numFmtId="0" fontId="67" fillId="0" borderId="0" xfId="7" applyFont="1" applyBorder="1" applyAlignment="1" applyProtection="1">
      <alignment horizontal="left" vertical="center" wrapText="1"/>
    </xf>
    <xf numFmtId="0" fontId="98" fillId="0" borderId="0" xfId="7" applyFont="1" applyProtection="1"/>
    <xf numFmtId="0" fontId="98" fillId="0" borderId="0" xfId="7" applyFont="1" applyBorder="1" applyAlignment="1" applyProtection="1">
      <alignment horizontal="left" vertical="center" wrapText="1"/>
    </xf>
    <xf numFmtId="0" fontId="99" fillId="0" borderId="0" xfId="7" applyFont="1" applyProtection="1"/>
    <xf numFmtId="14" fontId="62" fillId="0" borderId="0" xfId="6" applyNumberFormat="1" applyFont="1" applyAlignment="1">
      <alignment vertical="center"/>
    </xf>
    <xf numFmtId="0" fontId="62" fillId="13" borderId="0" xfId="6" applyFont="1" applyFill="1" applyAlignment="1">
      <alignment vertical="center"/>
    </xf>
    <xf numFmtId="0" fontId="55" fillId="0" borderId="0" xfId="6" applyFont="1"/>
    <xf numFmtId="0" fontId="62" fillId="8" borderId="28" xfId="0" applyFont="1" applyFill="1" applyBorder="1" applyAlignment="1" applyProtection="1">
      <alignment horizontal="left" vertical="center"/>
      <protection locked="0"/>
    </xf>
    <xf numFmtId="0" fontId="67" fillId="0" borderId="0" xfId="7" applyFont="1" applyBorder="1" applyAlignment="1" applyProtection="1">
      <alignment horizontal="left" vertical="center" wrapText="1"/>
    </xf>
    <xf numFmtId="0" fontId="62" fillId="8" borderId="27" xfId="0" applyFont="1" applyFill="1" applyBorder="1" applyAlignment="1" applyProtection="1">
      <alignment horizontal="left"/>
      <protection locked="0"/>
    </xf>
    <xf numFmtId="0" fontId="48" fillId="0" borderId="0" xfId="0" applyFont="1" applyBorder="1" applyAlignment="1" applyProtection="1">
      <alignment vertical="center"/>
    </xf>
    <xf numFmtId="0" fontId="48" fillId="0" borderId="10" xfId="0" applyFont="1" applyBorder="1" applyAlignment="1" applyProtection="1">
      <alignment vertical="center"/>
    </xf>
    <xf numFmtId="0" fontId="67" fillId="0" borderId="0" xfId="7" applyFont="1" applyBorder="1" applyAlignment="1" applyProtection="1">
      <alignment horizontal="left" vertical="center" wrapText="1"/>
    </xf>
    <xf numFmtId="0" fontId="50" fillId="0" borderId="0" xfId="0" applyFont="1"/>
    <xf numFmtId="0" fontId="11" fillId="0" borderId="0" xfId="0" applyFont="1" applyBorder="1" applyAlignment="1" applyProtection="1">
      <alignment horizontal="left"/>
    </xf>
    <xf numFmtId="0" fontId="5" fillId="0" borderId="0" xfId="0" applyFont="1" applyFill="1" applyBorder="1"/>
    <xf numFmtId="14" fontId="62" fillId="0" borderId="0" xfId="6" applyNumberFormat="1" applyFont="1" applyAlignment="1">
      <alignment horizontal="left" vertical="center"/>
    </xf>
    <xf numFmtId="0" fontId="62" fillId="0" borderId="0" xfId="0" applyFont="1" applyAlignment="1" applyProtection="1">
      <alignment horizontal="left"/>
    </xf>
    <xf numFmtId="14" fontId="62" fillId="9" borderId="27" xfId="0" applyNumberFormat="1" applyFont="1" applyFill="1" applyBorder="1" applyAlignment="1" applyProtection="1">
      <alignment horizontal="left"/>
      <protection locked="0"/>
    </xf>
    <xf numFmtId="0" fontId="62" fillId="0" borderId="0" xfId="0" applyFont="1" applyAlignment="1" applyProtection="1">
      <alignment horizontal="left"/>
    </xf>
    <xf numFmtId="0" fontId="62" fillId="0" borderId="0" xfId="0" applyFont="1" applyAlignment="1" applyProtection="1">
      <alignment horizontal="center"/>
    </xf>
    <xf numFmtId="0" fontId="62" fillId="0" borderId="0" xfId="0" applyFont="1" applyAlignment="1">
      <alignment wrapText="1"/>
    </xf>
    <xf numFmtId="0" fontId="5" fillId="0" borderId="0" xfId="6" applyAlignment="1">
      <alignment horizontal="center" vertical="center"/>
    </xf>
    <xf numFmtId="0" fontId="5" fillId="0" borderId="0" xfId="6" applyAlignment="1">
      <alignment horizontal="center" vertical="center"/>
    </xf>
    <xf numFmtId="0" fontId="5" fillId="0" borderId="0" xfId="6" applyFill="1" applyAlignment="1">
      <alignment horizontal="center"/>
    </xf>
    <xf numFmtId="14" fontId="62" fillId="8" borderId="27" xfId="0" applyNumberFormat="1" applyFont="1" applyFill="1" applyBorder="1" applyAlignment="1" applyProtection="1">
      <alignment horizontal="left"/>
      <protection locked="0"/>
    </xf>
    <xf numFmtId="14" fontId="62" fillId="7" borderId="27" xfId="0" applyNumberFormat="1" applyFont="1" applyFill="1" applyBorder="1" applyAlignment="1" applyProtection="1">
      <alignment horizontal="left"/>
      <protection locked="0"/>
    </xf>
    <xf numFmtId="0" fontId="62" fillId="7" borderId="27" xfId="0" applyFont="1" applyFill="1" applyBorder="1" applyAlignment="1" applyProtection="1">
      <alignment horizontal="left"/>
      <protection locked="0"/>
    </xf>
    <xf numFmtId="0" fontId="62" fillId="7" borderId="26" xfId="0" applyFont="1" applyFill="1" applyBorder="1" applyAlignment="1" applyProtection="1">
      <alignment horizontal="left"/>
      <protection locked="0"/>
    </xf>
    <xf numFmtId="0" fontId="67" fillId="0" borderId="0" xfId="7" applyFont="1" applyBorder="1" applyAlignment="1" applyProtection="1">
      <alignment horizontal="left" vertical="center" wrapText="1"/>
    </xf>
    <xf numFmtId="0" fontId="75" fillId="0" borderId="60" xfId="0" applyFont="1" applyFill="1" applyBorder="1" applyAlignment="1">
      <alignment vertical="top"/>
    </xf>
    <xf numFmtId="0" fontId="75" fillId="0" borderId="0" xfId="0" applyFont="1" applyFill="1" applyBorder="1" applyAlignment="1">
      <alignment vertical="top"/>
    </xf>
    <xf numFmtId="0" fontId="95" fillId="0" borderId="0" xfId="2" quotePrefix="1" applyFont="1" applyFill="1" applyAlignment="1" applyProtection="1">
      <alignment horizontal="center" vertical="center"/>
    </xf>
    <xf numFmtId="0" fontId="95" fillId="0" borderId="0" xfId="2" quotePrefix="1" applyFont="1" applyFill="1" applyAlignment="1" applyProtection="1">
      <alignment horizontal="center" vertical="top"/>
    </xf>
    <xf numFmtId="0" fontId="67" fillId="0" borderId="0" xfId="7" applyFont="1" applyBorder="1" applyAlignment="1" applyProtection="1">
      <alignment horizontal="left" vertical="center" wrapText="1"/>
    </xf>
    <xf numFmtId="0" fontId="35" fillId="0" borderId="0" xfId="0" applyFont="1" applyBorder="1" applyAlignment="1" applyProtection="1">
      <alignment horizontal="right"/>
    </xf>
    <xf numFmtId="174" fontId="21" fillId="0" borderId="0" xfId="0" applyNumberFormat="1" applyFont="1" applyBorder="1" applyAlignment="1" applyProtection="1">
      <alignment horizontal="center"/>
    </xf>
    <xf numFmtId="14" fontId="21" fillId="0" borderId="5" xfId="0" applyNumberFormat="1" applyFont="1" applyBorder="1" applyAlignment="1" applyProtection="1">
      <alignment horizontal="left"/>
    </xf>
    <xf numFmtId="0" fontId="21" fillId="0" borderId="5" xfId="0" applyFont="1" applyBorder="1" applyAlignment="1" applyProtection="1">
      <alignment horizontal="left" vertical="top"/>
    </xf>
    <xf numFmtId="0" fontId="35" fillId="0" borderId="0" xfId="0" applyFont="1" applyAlignment="1" applyProtection="1">
      <alignment shrinkToFit="1"/>
    </xf>
    <xf numFmtId="14" fontId="45" fillId="0" borderId="21" xfId="0" applyNumberFormat="1" applyFont="1" applyBorder="1" applyAlignment="1" applyProtection="1">
      <alignment horizontal="center" vertical="center" shrinkToFit="1"/>
    </xf>
    <xf numFmtId="0" fontId="41" fillId="0" borderId="0" xfId="0" applyFont="1" applyProtection="1"/>
    <xf numFmtId="0" fontId="62" fillId="0" borderId="0" xfId="0" applyFont="1" applyAlignment="1" applyProtection="1">
      <alignment horizontal="left" indent="1"/>
    </xf>
    <xf numFmtId="0" fontId="62" fillId="11" borderId="27" xfId="1" applyNumberFormat="1" applyFont="1" applyFill="1" applyBorder="1" applyAlignment="1" applyProtection="1">
      <alignment horizontal="left" vertical="center"/>
      <protection locked="0"/>
    </xf>
    <xf numFmtId="4" fontId="62" fillId="11" borderId="27" xfId="1" applyNumberFormat="1" applyFont="1" applyFill="1" applyBorder="1" applyAlignment="1" applyProtection="1">
      <alignment horizontal="left" vertical="center"/>
      <protection locked="0"/>
    </xf>
    <xf numFmtId="20" fontId="62" fillId="0" borderId="0" xfId="0" applyNumberFormat="1" applyFont="1" applyFill="1" applyProtection="1"/>
    <xf numFmtId="0" fontId="74" fillId="0" borderId="0" xfId="0" applyFont="1" applyAlignment="1" applyProtection="1">
      <alignment vertical="center"/>
    </xf>
    <xf numFmtId="0" fontId="51" fillId="0" borderId="0" xfId="6" applyFont="1" applyAlignment="1">
      <alignment vertical="center"/>
    </xf>
    <xf numFmtId="14" fontId="62" fillId="9" borderId="27" xfId="0" applyNumberFormat="1" applyFont="1" applyFill="1" applyBorder="1" applyAlignment="1" applyProtection="1">
      <alignment horizontal="left"/>
      <protection locked="0"/>
    </xf>
    <xf numFmtId="0" fontId="49" fillId="0" borderId="33" xfId="0" applyFont="1" applyBorder="1" applyAlignment="1" applyProtection="1"/>
    <xf numFmtId="0" fontId="49" fillId="0" borderId="7" xfId="0" applyFont="1" applyBorder="1" applyAlignment="1" applyProtection="1"/>
    <xf numFmtId="0" fontId="49" fillId="0" borderId="0" xfId="0" applyFont="1" applyBorder="1" applyAlignment="1" applyProtection="1"/>
    <xf numFmtId="0" fontId="20" fillId="0" borderId="46" xfId="0" applyFont="1" applyBorder="1" applyAlignment="1" applyProtection="1"/>
    <xf numFmtId="0" fontId="20" fillId="0" borderId="7" xfId="0" applyFont="1" applyBorder="1" applyAlignment="1" applyProtection="1"/>
    <xf numFmtId="175" fontId="74" fillId="0" borderId="0" xfId="0" applyNumberFormat="1" applyFont="1" applyProtection="1"/>
    <xf numFmtId="0" fontId="100" fillId="0" borderId="0" xfId="0" applyFont="1"/>
    <xf numFmtId="0" fontId="90" fillId="0" borderId="0" xfId="0" applyFont="1"/>
    <xf numFmtId="0" fontId="57" fillId="6" borderId="0" xfId="0" applyFont="1" applyFill="1" applyBorder="1" applyAlignment="1">
      <alignment vertical="center" wrapText="1"/>
    </xf>
    <xf numFmtId="0" fontId="102" fillId="6" borderId="0" xfId="0" applyFont="1" applyFill="1" applyBorder="1" applyAlignment="1">
      <alignment horizontal="left" vertical="center" wrapText="1" indent="1"/>
    </xf>
    <xf numFmtId="0" fontId="101" fillId="6" borderId="0" xfId="0" applyFont="1" applyFill="1" applyBorder="1" applyAlignment="1">
      <alignment horizontal="left" wrapText="1" indent="1"/>
    </xf>
    <xf numFmtId="0" fontId="62" fillId="12" borderId="27" xfId="0" applyFont="1" applyFill="1" applyBorder="1" applyAlignment="1" applyProtection="1">
      <alignment horizontal="left"/>
      <protection locked="0" hidden="1"/>
    </xf>
    <xf numFmtId="0" fontId="58" fillId="0" borderId="0" xfId="0" applyFont="1" applyFill="1" applyBorder="1" applyAlignment="1">
      <alignment horizontal="left" wrapText="1"/>
    </xf>
    <xf numFmtId="0" fontId="83" fillId="0" borderId="0" xfId="2" quotePrefix="1" applyFont="1" applyFill="1" applyAlignment="1" applyProtection="1">
      <alignment horizontal="center" vertical="center"/>
    </xf>
    <xf numFmtId="0" fontId="95" fillId="0" borderId="0" xfId="2" quotePrefix="1" applyFont="1" applyFill="1" applyAlignment="1" applyProtection="1">
      <alignment horizontal="center" vertical="center"/>
    </xf>
    <xf numFmtId="0" fontId="95" fillId="0" borderId="0" xfId="0" applyFont="1" applyFill="1" applyAlignment="1" applyProtection="1">
      <alignment horizontal="center" vertical="center"/>
    </xf>
    <xf numFmtId="0" fontId="75" fillId="0" borderId="60" xfId="0" applyFont="1" applyFill="1" applyBorder="1" applyAlignment="1">
      <alignment vertical="top"/>
    </xf>
    <xf numFmtId="0" fontId="62" fillId="7" borderId="0" xfId="0" applyFont="1" applyFill="1" applyBorder="1" applyAlignment="1" applyProtection="1">
      <alignment horizontal="left" vertical="center"/>
      <protection locked="0"/>
    </xf>
    <xf numFmtId="0" fontId="62" fillId="7" borderId="0" xfId="0" quotePrefix="1" applyFont="1" applyFill="1" applyBorder="1" applyAlignment="1" applyProtection="1">
      <alignment horizontal="left" vertical="center"/>
      <protection locked="0"/>
    </xf>
    <xf numFmtId="0" fontId="62" fillId="9" borderId="0" xfId="0" applyFont="1" applyFill="1" applyBorder="1" applyAlignment="1" applyProtection="1">
      <alignment horizontal="left" vertical="center"/>
      <protection locked="0"/>
    </xf>
    <xf numFmtId="0" fontId="58" fillId="0" borderId="0" xfId="0" applyFont="1" applyFill="1" applyBorder="1" applyAlignment="1">
      <alignment vertical="center" wrapText="1"/>
    </xf>
    <xf numFmtId="0" fontId="62" fillId="7" borderId="0" xfId="0" applyFont="1" applyFill="1" applyBorder="1" applyAlignment="1" applyProtection="1">
      <alignment horizontal="left" vertical="center"/>
      <protection locked="0" hidden="1"/>
    </xf>
    <xf numFmtId="0" fontId="62" fillId="11" borderId="28" xfId="0" applyFont="1" applyFill="1" applyBorder="1" applyAlignment="1" applyProtection="1">
      <alignment horizontal="left" vertical="center" wrapText="1"/>
      <protection locked="0"/>
    </xf>
    <xf numFmtId="0" fontId="62" fillId="11" borderId="26" xfId="0" applyFont="1" applyFill="1" applyBorder="1" applyAlignment="1" applyProtection="1">
      <alignment horizontal="left" vertical="center" wrapText="1"/>
      <protection locked="0"/>
    </xf>
    <xf numFmtId="0" fontId="34" fillId="0" borderId="0" xfId="0" applyFont="1" applyBorder="1" applyAlignment="1" applyProtection="1">
      <alignment horizontal="center"/>
    </xf>
    <xf numFmtId="0" fontId="36" fillId="0" borderId="0" xfId="0" applyFont="1" applyBorder="1" applyAlignment="1" applyProtection="1">
      <alignment horizontal="left" vertical="top" wrapText="1"/>
    </xf>
    <xf numFmtId="0" fontId="36" fillId="0" borderId="29" xfId="0" applyFont="1" applyBorder="1" applyAlignment="1" applyProtection="1">
      <alignment horizontal="center" wrapText="1"/>
    </xf>
    <xf numFmtId="0" fontId="0" fillId="0" borderId="29" xfId="0" applyBorder="1" applyAlignment="1">
      <alignment horizontal="center" wrapText="1"/>
    </xf>
    <xf numFmtId="0" fontId="36" fillId="0" borderId="0" xfId="0" applyFont="1" applyBorder="1" applyAlignment="1" applyProtection="1">
      <alignment horizontal="center"/>
    </xf>
    <xf numFmtId="0" fontId="36" fillId="0" borderId="0" xfId="0" applyFont="1" applyBorder="1" applyAlignment="1" applyProtection="1">
      <alignment horizontal="center" vertical="top"/>
    </xf>
    <xf numFmtId="0" fontId="36" fillId="0" borderId="0" xfId="0" applyFont="1" applyBorder="1" applyAlignment="1" applyProtection="1">
      <alignment horizontal="left"/>
    </xf>
    <xf numFmtId="0" fontId="36" fillId="0" borderId="0" xfId="0" applyFont="1" applyBorder="1" applyAlignment="1" applyProtection="1">
      <alignment horizontal="center" vertical="top" wrapText="1"/>
    </xf>
    <xf numFmtId="0" fontId="9" fillId="0" borderId="0" xfId="0" applyFont="1" applyAlignment="1">
      <alignment horizontal="center"/>
    </xf>
    <xf numFmtId="0" fontId="95" fillId="0" borderId="0" xfId="2" quotePrefix="1" applyFont="1" applyFill="1" applyAlignment="1" applyProtection="1">
      <alignment horizontal="center"/>
    </xf>
    <xf numFmtId="0" fontId="40" fillId="0" borderId="0" xfId="0" applyFont="1" applyBorder="1" applyAlignment="1" applyProtection="1">
      <alignment horizontal="center"/>
    </xf>
    <xf numFmtId="0" fontId="38" fillId="0" borderId="0" xfId="0" applyFont="1" applyBorder="1" applyAlignment="1" applyProtection="1">
      <alignment horizontal="center"/>
    </xf>
    <xf numFmtId="0" fontId="75" fillId="0" borderId="60" xfId="0" applyFont="1" applyFill="1" applyBorder="1" applyAlignment="1">
      <alignment horizontal="left"/>
    </xf>
    <xf numFmtId="0" fontId="62" fillId="8" borderId="27" xfId="0" applyFont="1" applyFill="1" applyBorder="1" applyAlignment="1" applyProtection="1">
      <alignment horizontal="left"/>
      <protection locked="0"/>
    </xf>
    <xf numFmtId="0" fontId="62" fillId="8" borderId="28" xfId="0" applyFont="1" applyFill="1" applyBorder="1" applyAlignment="1" applyProtection="1">
      <alignment horizontal="left"/>
      <protection locked="0"/>
    </xf>
    <xf numFmtId="14" fontId="62" fillId="8" borderId="27" xfId="0" applyNumberFormat="1" applyFont="1" applyFill="1" applyBorder="1" applyAlignment="1" applyProtection="1">
      <alignment horizontal="left"/>
      <protection locked="0"/>
    </xf>
    <xf numFmtId="0" fontId="21" fillId="0" borderId="7" xfId="0" applyFont="1" applyBorder="1" applyAlignment="1" applyProtection="1">
      <alignment horizontal="center"/>
    </xf>
    <xf numFmtId="0" fontId="12" fillId="0" borderId="4" xfId="0" applyFont="1" applyBorder="1" applyAlignment="1" applyProtection="1">
      <alignment horizontal="center"/>
    </xf>
    <xf numFmtId="0" fontId="12" fillId="0" borderId="5" xfId="0" applyFont="1" applyBorder="1" applyAlignment="1" applyProtection="1">
      <alignment horizontal="center"/>
    </xf>
    <xf numFmtId="0" fontId="62" fillId="12" borderId="26" xfId="0" applyFont="1" applyFill="1" applyBorder="1" applyAlignment="1" applyProtection="1">
      <alignment horizontal="left"/>
      <protection locked="0"/>
    </xf>
    <xf numFmtId="0" fontId="62" fillId="12" borderId="27" xfId="0" applyFont="1" applyFill="1" applyBorder="1" applyAlignment="1" applyProtection="1">
      <alignment horizontal="left"/>
      <protection locked="0"/>
    </xf>
    <xf numFmtId="49" fontId="62" fillId="12" borderId="27" xfId="0" applyNumberFormat="1" applyFont="1" applyFill="1" applyBorder="1" applyAlignment="1" applyProtection="1">
      <alignment horizontal="left"/>
      <protection locked="0"/>
    </xf>
    <xf numFmtId="0" fontId="75" fillId="0" borderId="60" xfId="0" applyFont="1" applyFill="1" applyBorder="1" applyAlignment="1"/>
    <xf numFmtId="0" fontId="13" fillId="0" borderId="4" xfId="0" applyFont="1" applyBorder="1" applyAlignment="1">
      <alignment horizontal="left" shrinkToFit="1"/>
    </xf>
    <xf numFmtId="0" fontId="13" fillId="0" borderId="5" xfId="0" applyFont="1" applyBorder="1" applyAlignment="1">
      <alignment horizontal="left" shrinkToFit="1"/>
    </xf>
    <xf numFmtId="0" fontId="21" fillId="0" borderId="0" xfId="0" applyFont="1" applyBorder="1" applyAlignment="1" applyProtection="1">
      <alignment horizontal="left"/>
    </xf>
    <xf numFmtId="0" fontId="23" fillId="0" borderId="2" xfId="0" applyFont="1" applyBorder="1" applyAlignment="1" applyProtection="1">
      <alignment horizontal="center"/>
    </xf>
    <xf numFmtId="0" fontId="23" fillId="0" borderId="3" xfId="0" applyFont="1" applyBorder="1" applyAlignment="1" applyProtection="1">
      <alignment horizontal="center"/>
    </xf>
    <xf numFmtId="0" fontId="23" fillId="0" borderId="0" xfId="0" applyFont="1" applyBorder="1" applyAlignment="1" applyProtection="1">
      <alignment horizontal="center" shrinkToFit="1"/>
    </xf>
    <xf numFmtId="0" fontId="23" fillId="0" borderId="5" xfId="0" applyFont="1" applyBorder="1" applyAlignment="1" applyProtection="1">
      <alignment horizontal="center" shrinkToFit="1"/>
    </xf>
    <xf numFmtId="0" fontId="20" fillId="0" borderId="0" xfId="0" applyFont="1" applyBorder="1" applyAlignment="1" applyProtection="1">
      <alignment horizontal="center" shrinkToFit="1"/>
    </xf>
    <xf numFmtId="0" fontId="20" fillId="0" borderId="5" xfId="0" applyFont="1" applyBorder="1" applyAlignment="1" applyProtection="1">
      <alignment horizontal="center" shrinkToFit="1"/>
    </xf>
    <xf numFmtId="0" fontId="62" fillId="8" borderId="28" xfId="0" applyFont="1" applyFill="1" applyBorder="1" applyAlignment="1" applyProtection="1">
      <alignment horizontal="left" vertical="top" wrapText="1"/>
      <protection locked="0"/>
    </xf>
    <xf numFmtId="0" fontId="62" fillId="8" borderId="0" xfId="0" applyFont="1" applyFill="1" applyBorder="1" applyAlignment="1" applyProtection="1">
      <alignment horizontal="left" vertical="top" wrapText="1"/>
      <protection locked="0"/>
    </xf>
    <xf numFmtId="14" fontId="12" fillId="0" borderId="4" xfId="0" applyNumberFormat="1" applyFont="1" applyBorder="1" applyAlignment="1" applyProtection="1">
      <alignment horizontal="center"/>
    </xf>
    <xf numFmtId="0" fontId="12" fillId="0" borderId="4" xfId="0" applyFont="1" applyFill="1" applyBorder="1" applyAlignment="1" applyProtection="1">
      <alignment horizontal="center"/>
    </xf>
    <xf numFmtId="0" fontId="12" fillId="0" borderId="5" xfId="0" applyFont="1" applyFill="1" applyBorder="1" applyAlignment="1" applyProtection="1">
      <alignment horizontal="center"/>
    </xf>
    <xf numFmtId="0" fontId="0" fillId="0" borderId="13" xfId="0" applyBorder="1" applyAlignment="1" applyProtection="1">
      <alignment horizontal="center"/>
    </xf>
    <xf numFmtId="0" fontId="0" fillId="0" borderId="14" xfId="0" applyBorder="1" applyAlignment="1" applyProtection="1">
      <alignment horizontal="center"/>
    </xf>
    <xf numFmtId="0" fontId="21" fillId="0" borderId="9" xfId="0" applyFont="1" applyBorder="1" applyAlignment="1" applyProtection="1">
      <alignment horizontal="left"/>
    </xf>
    <xf numFmtId="14" fontId="20" fillId="0" borderId="2" xfId="0" applyNumberFormat="1" applyFont="1" applyBorder="1" applyAlignment="1" applyProtection="1">
      <alignment horizontal="center"/>
    </xf>
    <xf numFmtId="14" fontId="20" fillId="0" borderId="3" xfId="0" applyNumberFormat="1" applyFont="1" applyBorder="1" applyAlignment="1" applyProtection="1">
      <alignment horizontal="center"/>
    </xf>
    <xf numFmtId="0" fontId="21" fillId="0" borderId="0" xfId="0" applyFont="1" applyBorder="1" applyAlignment="1" applyProtection="1">
      <alignment horizontal="center"/>
    </xf>
    <xf numFmtId="0" fontId="21" fillId="0" borderId="5" xfId="0" applyFont="1" applyBorder="1" applyAlignment="1" applyProtection="1">
      <alignment horizontal="center"/>
    </xf>
    <xf numFmtId="0" fontId="21" fillId="0" borderId="15" xfId="0" applyFont="1" applyBorder="1" applyAlignment="1" applyProtection="1">
      <alignment horizontal="center"/>
    </xf>
    <xf numFmtId="0" fontId="21" fillId="0" borderId="0" xfId="0" applyFont="1" applyBorder="1" applyAlignment="1" applyProtection="1">
      <alignment horizontal="left" vertical="center" wrapText="1"/>
    </xf>
    <xf numFmtId="1" fontId="87" fillId="0" borderId="21" xfId="4" applyNumberFormat="1" applyFont="1" applyBorder="1" applyAlignment="1" applyProtection="1">
      <alignment horizontal="left" wrapText="1"/>
    </xf>
    <xf numFmtId="0" fontId="87" fillId="0" borderId="21" xfId="4" applyFont="1" applyBorder="1" applyAlignment="1" applyProtection="1">
      <alignment horizontal="left" wrapText="1"/>
    </xf>
    <xf numFmtId="0" fontId="7" fillId="0" borderId="0" xfId="0" applyFont="1" applyAlignment="1" applyProtection="1">
      <alignment horizontal="center" vertical="center"/>
    </xf>
    <xf numFmtId="1" fontId="87" fillId="0" borderId="7" xfId="4" applyNumberFormat="1" applyFont="1" applyBorder="1" applyAlignment="1" applyProtection="1">
      <alignment horizontal="center"/>
    </xf>
    <xf numFmtId="0" fontId="5" fillId="0" borderId="0" xfId="0" applyFont="1" applyAlignment="1" applyProtection="1">
      <alignment horizontal="center"/>
    </xf>
    <xf numFmtId="0" fontId="5" fillId="0" borderId="0" xfId="0" applyFont="1" applyBorder="1" applyAlignment="1" applyProtection="1">
      <alignment horizontal="center" vertical="center"/>
    </xf>
    <xf numFmtId="0" fontId="5" fillId="0" borderId="0" xfId="0" applyFont="1" applyAlignment="1" applyProtection="1">
      <alignment horizontal="center" vertical="center"/>
    </xf>
    <xf numFmtId="0" fontId="87" fillId="0" borderId="7" xfId="4" applyFont="1" applyBorder="1" applyAlignment="1" applyProtection="1">
      <alignment horizontal="left"/>
    </xf>
    <xf numFmtId="0" fontId="35" fillId="0" borderId="0" xfId="0" applyFont="1" applyBorder="1" applyAlignment="1" applyProtection="1">
      <alignment horizontal="center"/>
    </xf>
    <xf numFmtId="0" fontId="88" fillId="0" borderId="0" xfId="0" applyFont="1" applyBorder="1" applyAlignment="1" applyProtection="1">
      <alignment horizontal="center" shrinkToFit="1"/>
    </xf>
    <xf numFmtId="0" fontId="89" fillId="0" borderId="0" xfId="0" applyFont="1" applyBorder="1" applyAlignment="1" applyProtection="1">
      <alignment horizontal="center" shrinkToFit="1"/>
    </xf>
    <xf numFmtId="0" fontId="35" fillId="0" borderId="0" xfId="0" applyNumberFormat="1" applyFont="1" applyBorder="1" applyAlignment="1" applyProtection="1">
      <alignment horizontal="right"/>
    </xf>
    <xf numFmtId="14" fontId="35" fillId="0" borderId="0" xfId="0" applyNumberFormat="1" applyFont="1" applyBorder="1" applyAlignment="1" applyProtection="1">
      <alignment horizontal="left"/>
    </xf>
    <xf numFmtId="0" fontId="35" fillId="0" borderId="0" xfId="0" applyFont="1" applyBorder="1" applyAlignment="1" applyProtection="1">
      <alignment horizontal="center" shrinkToFit="1"/>
    </xf>
    <xf numFmtId="0" fontId="36" fillId="0" borderId="0" xfId="0" applyFont="1" applyBorder="1" applyAlignment="1" applyProtection="1">
      <alignment horizontal="left" wrapText="1"/>
    </xf>
    <xf numFmtId="0" fontId="36" fillId="0" borderId="0" xfId="0" applyFont="1" applyBorder="1" applyAlignment="1" applyProtection="1">
      <alignment horizontal="right" wrapText="1"/>
    </xf>
    <xf numFmtId="165" fontId="36" fillId="0" borderId="0" xfId="0" applyNumberFormat="1" applyFont="1" applyBorder="1" applyAlignment="1" applyProtection="1">
      <alignment horizontal="right" wrapText="1"/>
    </xf>
    <xf numFmtId="0" fontId="35" fillId="0" borderId="0" xfId="0" applyFont="1" applyBorder="1" applyAlignment="1" applyProtection="1">
      <alignment horizontal="right"/>
    </xf>
    <xf numFmtId="0" fontId="35" fillId="0" borderId="0" xfId="0" applyFont="1" applyBorder="1" applyAlignment="1" applyProtection="1">
      <alignment horizontal="left"/>
    </xf>
    <xf numFmtId="0" fontId="62" fillId="11" borderId="27" xfId="0" applyFont="1" applyFill="1" applyBorder="1" applyAlignment="1" applyProtection="1">
      <protection locked="0"/>
    </xf>
    <xf numFmtId="0" fontId="62" fillId="11" borderId="0" xfId="0" applyFont="1" applyFill="1" applyBorder="1" applyAlignment="1" applyProtection="1">
      <protection locked="0"/>
    </xf>
    <xf numFmtId="0" fontId="35" fillId="0" borderId="11" xfId="0" applyFont="1" applyBorder="1" applyAlignment="1" applyProtection="1">
      <alignment horizontal="left"/>
    </xf>
    <xf numFmtId="0" fontId="62" fillId="0" borderId="0" xfId="0" applyFont="1" applyAlignment="1" applyProtection="1">
      <alignment horizontal="center"/>
    </xf>
    <xf numFmtId="0" fontId="62" fillId="11" borderId="0" xfId="0" applyFont="1" applyFill="1" applyBorder="1" applyAlignment="1" applyProtection="1">
      <alignment horizontal="left"/>
      <protection locked="0"/>
    </xf>
    <xf numFmtId="14" fontId="35" fillId="0" borderId="0" xfId="0" applyNumberFormat="1" applyFont="1" applyBorder="1" applyAlignment="1" applyProtection="1">
      <alignment horizontal="center"/>
    </xf>
    <xf numFmtId="0" fontId="62" fillId="12" borderId="27" xfId="0" applyFont="1" applyFill="1" applyBorder="1" applyAlignment="1" applyProtection="1">
      <alignment horizontal="left" vertical="center"/>
      <protection locked="0"/>
    </xf>
    <xf numFmtId="0" fontId="75" fillId="0" borderId="60" xfId="0" applyFont="1" applyFill="1" applyBorder="1" applyAlignment="1" applyProtection="1">
      <alignment horizontal="left"/>
    </xf>
    <xf numFmtId="0" fontId="46" fillId="0" borderId="2" xfId="0" applyFont="1" applyBorder="1" applyAlignment="1" applyProtection="1">
      <alignment horizontal="center" vertical="center"/>
    </xf>
    <xf numFmtId="14" fontId="44" fillId="0" borderId="0" xfId="0" applyNumberFormat="1" applyFont="1" applyBorder="1" applyAlignment="1" applyProtection="1">
      <alignment horizontal="right" vertical="center"/>
    </xf>
    <xf numFmtId="14" fontId="44" fillId="0" borderId="7" xfId="0" applyNumberFormat="1" applyFont="1" applyBorder="1" applyAlignment="1" applyProtection="1">
      <alignment horizontal="right" vertical="center"/>
    </xf>
    <xf numFmtId="0" fontId="45" fillId="0" borderId="0" xfId="0" applyFont="1" applyBorder="1" applyAlignment="1" applyProtection="1">
      <alignment horizontal="right" vertical="top"/>
    </xf>
    <xf numFmtId="0" fontId="45" fillId="0" borderId="7" xfId="0" applyFont="1" applyBorder="1" applyAlignment="1" applyProtection="1">
      <alignment horizontal="right" vertical="top"/>
    </xf>
    <xf numFmtId="0" fontId="95" fillId="0" borderId="0" xfId="4" applyFont="1" applyAlignment="1" applyProtection="1">
      <alignment horizontal="center" vertical="center"/>
    </xf>
    <xf numFmtId="0" fontId="20" fillId="0" borderId="0" xfId="0" applyFont="1" applyBorder="1" applyAlignment="1" applyProtection="1">
      <alignment horizontal="right" vertical="top" wrapText="1"/>
    </xf>
    <xf numFmtId="0" fontId="49" fillId="0" borderId="31" xfId="0" applyFont="1" applyBorder="1" applyAlignment="1" applyProtection="1">
      <alignment horizontal="left"/>
    </xf>
    <xf numFmtId="0" fontId="49" fillId="0" borderId="10" xfId="0" applyFont="1" applyBorder="1" applyAlignment="1" applyProtection="1">
      <alignment horizontal="left"/>
    </xf>
    <xf numFmtId="0" fontId="62" fillId="0" borderId="0" xfId="0" applyFont="1" applyBorder="1" applyAlignment="1" applyProtection="1">
      <alignment horizontal="center"/>
    </xf>
    <xf numFmtId="0" fontId="62" fillId="0" borderId="26" xfId="0" applyFont="1" applyBorder="1" applyAlignment="1" applyProtection="1">
      <alignment horizontal="center"/>
    </xf>
    <xf numFmtId="0" fontId="49" fillId="0" borderId="31" xfId="0" applyFont="1" applyBorder="1" applyAlignment="1" applyProtection="1">
      <alignment horizontal="left" shrinkToFit="1"/>
    </xf>
    <xf numFmtId="0" fontId="49" fillId="0" borderId="10" xfId="0" applyFont="1" applyBorder="1" applyAlignment="1" applyProtection="1">
      <alignment horizontal="left" shrinkToFit="1"/>
    </xf>
    <xf numFmtId="0" fontId="49" fillId="0" borderId="32" xfId="0" applyFont="1" applyBorder="1" applyAlignment="1" applyProtection="1">
      <alignment horizontal="left" shrinkToFit="1"/>
    </xf>
    <xf numFmtId="0" fontId="21" fillId="0" borderId="0" xfId="0" applyFont="1" applyBorder="1" applyAlignment="1" applyProtection="1">
      <alignment horizontal="center" vertical="top" wrapText="1"/>
    </xf>
    <xf numFmtId="0" fontId="21" fillId="0" borderId="0" xfId="0" applyFont="1" applyBorder="1" applyAlignment="1" applyProtection="1">
      <alignment horizontal="center" vertical="top"/>
    </xf>
    <xf numFmtId="0" fontId="21" fillId="0" borderId="7" xfId="0" applyFont="1" applyBorder="1" applyAlignment="1" applyProtection="1">
      <alignment horizontal="center" vertical="top"/>
    </xf>
    <xf numFmtId="0" fontId="20" fillId="0" borderId="30" xfId="0" applyFont="1" applyBorder="1" applyAlignment="1" applyProtection="1">
      <alignment horizontal="left" vertical="top"/>
    </xf>
    <xf numFmtId="0" fontId="20" fillId="0" borderId="46" xfId="0" applyFont="1" applyBorder="1" applyAlignment="1" applyProtection="1">
      <alignment horizontal="left" vertical="top"/>
    </xf>
    <xf numFmtId="0" fontId="20" fillId="0" borderId="35" xfId="0" applyFont="1" applyBorder="1" applyAlignment="1" applyProtection="1">
      <alignment horizontal="left" vertical="top"/>
    </xf>
    <xf numFmtId="0" fontId="20" fillId="0" borderId="0" xfId="0" applyFont="1" applyBorder="1" applyAlignment="1" applyProtection="1">
      <alignment horizontal="left" vertical="top"/>
    </xf>
    <xf numFmtId="43" fontId="49" fillId="0" borderId="44" xfId="1" applyFont="1" applyBorder="1" applyAlignment="1" applyProtection="1">
      <alignment horizontal="center"/>
    </xf>
    <xf numFmtId="43" fontId="49" fillId="0" borderId="45" xfId="1" applyFont="1" applyBorder="1" applyAlignment="1" applyProtection="1">
      <alignment horizontal="center"/>
    </xf>
    <xf numFmtId="0" fontId="48" fillId="0" borderId="4" xfId="0" applyFont="1" applyBorder="1" applyAlignment="1" applyProtection="1">
      <alignment horizontal="center" vertical="center"/>
    </xf>
    <xf numFmtId="0" fontId="48" fillId="0" borderId="41" xfId="0" applyFont="1" applyBorder="1" applyAlignment="1" applyProtection="1">
      <alignment horizontal="center" vertical="center"/>
    </xf>
    <xf numFmtId="0" fontId="49" fillId="0" borderId="33" xfId="0" applyFont="1" applyBorder="1" applyAlignment="1" applyProtection="1">
      <alignment horizontal="left" shrinkToFit="1"/>
    </xf>
    <xf numFmtId="0" fontId="49" fillId="0" borderId="7" xfId="0" applyFont="1" applyBorder="1" applyAlignment="1" applyProtection="1">
      <alignment horizontal="left" shrinkToFit="1"/>
    </xf>
    <xf numFmtId="0" fontId="49" fillId="0" borderId="34" xfId="0" applyFont="1" applyBorder="1" applyAlignment="1" applyProtection="1">
      <alignment horizontal="left" shrinkToFit="1"/>
    </xf>
    <xf numFmtId="0" fontId="21" fillId="0" borderId="2" xfId="0" applyFont="1" applyBorder="1" applyAlignment="1" applyProtection="1">
      <alignment horizontal="left" vertical="top"/>
    </xf>
    <xf numFmtId="0" fontId="49" fillId="0" borderId="0" xfId="0" applyFont="1" applyBorder="1" applyAlignment="1" applyProtection="1">
      <alignment horizontal="left"/>
    </xf>
    <xf numFmtId="0" fontId="48" fillId="0" borderId="0" xfId="0" applyFont="1" applyBorder="1" applyAlignment="1" applyProtection="1">
      <alignment horizontal="left" vertical="center" indent="1"/>
    </xf>
    <xf numFmtId="0" fontId="48" fillId="0" borderId="10" xfId="0" applyFont="1" applyBorder="1" applyAlignment="1" applyProtection="1">
      <alignment horizontal="left" vertical="center" indent="1"/>
    </xf>
    <xf numFmtId="0" fontId="75" fillId="0" borderId="60" xfId="0" applyFont="1" applyFill="1" applyBorder="1" applyAlignment="1" applyProtection="1"/>
    <xf numFmtId="0" fontId="62" fillId="12" borderId="27" xfId="0" applyFont="1" applyFill="1" applyBorder="1" applyAlignment="1" applyProtection="1">
      <alignment horizontal="left"/>
      <protection locked="0" hidden="1"/>
    </xf>
    <xf numFmtId="0" fontId="62" fillId="11" borderId="27" xfId="0" applyFont="1" applyFill="1" applyBorder="1" applyAlignment="1" applyProtection="1">
      <alignment horizontal="left"/>
      <protection locked="0"/>
    </xf>
    <xf numFmtId="2" fontId="62" fillId="11" borderId="27" xfId="0" applyNumberFormat="1" applyFont="1" applyFill="1" applyBorder="1" applyAlignment="1" applyProtection="1">
      <alignment horizontal="left"/>
      <protection locked="0"/>
    </xf>
    <xf numFmtId="0" fontId="52" fillId="0" borderId="0" xfId="0" applyFont="1" applyBorder="1" applyAlignment="1" applyProtection="1">
      <alignment horizontal="center"/>
    </xf>
    <xf numFmtId="14" fontId="52" fillId="0" borderId="0" xfId="0" applyNumberFormat="1" applyFont="1" applyBorder="1" applyAlignment="1" applyProtection="1">
      <alignment horizontal="right"/>
    </xf>
    <xf numFmtId="169" fontId="52" fillId="0" borderId="0" xfId="0" applyNumberFormat="1" applyFont="1" applyBorder="1" applyAlignment="1" applyProtection="1"/>
    <xf numFmtId="0" fontId="52" fillId="0" borderId="0" xfId="0" applyFont="1" applyBorder="1" applyAlignment="1" applyProtection="1">
      <alignment horizontal="right"/>
    </xf>
    <xf numFmtId="0" fontId="52" fillId="0" borderId="0" xfId="0" applyFont="1" applyBorder="1" applyAlignment="1" applyProtection="1">
      <alignment horizontal="center" shrinkToFit="1"/>
    </xf>
    <xf numFmtId="0" fontId="52" fillId="0" borderId="0" xfId="0" applyFont="1" applyBorder="1" applyAlignment="1" applyProtection="1">
      <alignment horizontal="left"/>
    </xf>
    <xf numFmtId="0" fontId="91" fillId="0" borderId="0" xfId="0" applyFont="1" applyBorder="1" applyAlignment="1" applyProtection="1">
      <alignment horizontal="center" vertical="center" shrinkToFit="1"/>
    </xf>
    <xf numFmtId="0" fontId="62" fillId="0" borderId="0" xfId="0" applyFont="1" applyAlignment="1" applyProtection="1">
      <alignment horizontal="left"/>
    </xf>
    <xf numFmtId="0" fontId="92" fillId="0" borderId="0" xfId="0" applyFont="1" applyBorder="1" applyAlignment="1" applyProtection="1">
      <alignment horizontal="center" shrinkToFit="1"/>
    </xf>
    <xf numFmtId="0" fontId="93" fillId="0" borderId="0" xfId="0" applyFont="1" applyBorder="1" applyAlignment="1" applyProtection="1">
      <alignment horizontal="center" shrinkToFit="1"/>
    </xf>
    <xf numFmtId="0" fontId="62" fillId="2" borderId="27" xfId="0" applyFont="1" applyFill="1" applyBorder="1" applyAlignment="1" applyProtection="1">
      <alignment horizontal="left"/>
      <protection locked="0"/>
    </xf>
    <xf numFmtId="0" fontId="9" fillId="0" borderId="7" xfId="0" applyFont="1" applyBorder="1" applyAlignment="1" applyProtection="1">
      <alignment horizontal="left"/>
    </xf>
    <xf numFmtId="0" fontId="9" fillId="0" borderId="8" xfId="0" applyFont="1" applyBorder="1" applyAlignment="1" applyProtection="1">
      <alignment horizontal="left"/>
    </xf>
    <xf numFmtId="0" fontId="39" fillId="0" borderId="0" xfId="0" applyFont="1" applyBorder="1" applyAlignment="1" applyProtection="1">
      <alignment horizontal="center" vertical="center"/>
    </xf>
    <xf numFmtId="0" fontId="62" fillId="2" borderId="28" xfId="0" applyFont="1" applyFill="1" applyBorder="1" applyAlignment="1" applyProtection="1">
      <alignment horizontal="left"/>
      <protection locked="0"/>
    </xf>
    <xf numFmtId="0" fontId="62" fillId="2" borderId="26" xfId="0" applyFont="1" applyFill="1" applyBorder="1" applyAlignment="1" applyProtection="1">
      <alignment horizontal="left"/>
      <protection locked="0"/>
    </xf>
    <xf numFmtId="0" fontId="57" fillId="6" borderId="0" xfId="0" applyFont="1" applyFill="1" applyBorder="1" applyAlignment="1">
      <alignment horizontal="center" vertical="center"/>
    </xf>
    <xf numFmtId="0" fontId="75" fillId="0" borderId="0" xfId="0" applyFont="1" applyFill="1" applyBorder="1" applyAlignment="1" applyProtection="1">
      <alignment horizontal="center" wrapText="1"/>
    </xf>
    <xf numFmtId="0" fontId="75" fillId="0" borderId="60" xfId="0" applyFont="1" applyFill="1" applyBorder="1" applyAlignment="1" applyProtection="1">
      <alignment horizontal="left" vertical="top"/>
    </xf>
    <xf numFmtId="0" fontId="76" fillId="0" borderId="61" xfId="7" applyFont="1" applyBorder="1" applyAlignment="1" applyProtection="1">
      <alignment horizontal="left"/>
    </xf>
    <xf numFmtId="0" fontId="76" fillId="0" borderId="0" xfId="7" applyFont="1" applyAlignment="1" applyProtection="1">
      <alignment horizontal="left" wrapText="1"/>
    </xf>
    <xf numFmtId="0" fontId="95" fillId="0" borderId="0" xfId="2" quotePrefix="1" applyFont="1" applyFill="1" applyAlignment="1" applyProtection="1">
      <alignment horizontal="right" vertical="center"/>
    </xf>
    <xf numFmtId="0" fontId="95" fillId="0" borderId="0" xfId="2" quotePrefix="1" applyFont="1" applyFill="1" applyAlignment="1" applyProtection="1">
      <alignment horizontal="left" vertical="center" indent="5"/>
    </xf>
    <xf numFmtId="0" fontId="68" fillId="0" borderId="0" xfId="0" applyFont="1" applyAlignment="1">
      <alignment horizontal="left" vertical="center"/>
    </xf>
    <xf numFmtId="0" fontId="68" fillId="0" borderId="0" xfId="0" applyFont="1" applyAlignment="1">
      <alignment vertical="center" wrapText="1"/>
    </xf>
    <xf numFmtId="0" fontId="67" fillId="0" borderId="0" xfId="7" applyFont="1" applyBorder="1" applyAlignment="1" applyProtection="1">
      <alignment horizontal="left" vertical="center" wrapText="1"/>
    </xf>
    <xf numFmtId="0" fontId="67" fillId="0" borderId="0" xfId="7" applyFont="1" applyBorder="1" applyAlignment="1" applyProtection="1">
      <alignment vertical="top" wrapText="1"/>
    </xf>
    <xf numFmtId="0" fontId="76" fillId="0" borderId="0" xfId="7" applyFont="1" applyAlignment="1" applyProtection="1">
      <alignment horizontal="left"/>
    </xf>
    <xf numFmtId="0" fontId="62" fillId="0" borderId="0" xfId="0" applyFont="1"/>
    <xf numFmtId="0" fontId="62" fillId="0" borderId="0" xfId="6" applyFont="1" applyAlignment="1">
      <alignment horizontal="center"/>
    </xf>
    <xf numFmtId="0" fontId="54" fillId="0" borderId="0" xfId="6" applyFont="1" applyAlignment="1">
      <alignment horizontal="left" vertical="center" wrapText="1"/>
    </xf>
    <xf numFmtId="0" fontId="3" fillId="0" borderId="0" xfId="6" applyFont="1" applyAlignment="1">
      <alignment horizontal="center" vertical="center" wrapText="1"/>
    </xf>
    <xf numFmtId="0" fontId="5" fillId="0" borderId="0" xfId="6" applyAlignment="1">
      <alignment horizontal="center" vertical="center"/>
    </xf>
    <xf numFmtId="0" fontId="5" fillId="0" borderId="0" xfId="6" applyFill="1" applyAlignment="1">
      <alignment horizontal="center"/>
    </xf>
    <xf numFmtId="0" fontId="5" fillId="0" borderId="0" xfId="6" applyAlignment="1">
      <alignment horizontal="left" vertical="center"/>
    </xf>
    <xf numFmtId="0" fontId="5" fillId="3" borderId="0" xfId="6" applyFill="1" applyAlignment="1">
      <alignment horizontal="center" vertical="center"/>
    </xf>
    <xf numFmtId="0" fontId="55" fillId="0" borderId="0" xfId="6" applyFont="1" applyAlignment="1">
      <alignment horizontal="center" vertical="center" wrapText="1"/>
    </xf>
    <xf numFmtId="0" fontId="5" fillId="0" borderId="0" xfId="6" applyBorder="1" applyAlignment="1">
      <alignment horizontal="center"/>
    </xf>
    <xf numFmtId="0" fontId="3" fillId="0" borderId="0" xfId="6" applyFont="1" applyAlignment="1">
      <alignment horizontal="center" wrapText="1"/>
    </xf>
  </cellXfs>
  <cellStyles count="11">
    <cellStyle name="%" xfId="4"/>
    <cellStyle name="Komma" xfId="1" builtinId="3"/>
    <cellStyle name="Komma 2" xfId="8"/>
    <cellStyle name="Link" xfId="2" builtinId="8"/>
    <cellStyle name="Prozent" xfId="3" builtinId="5"/>
    <cellStyle name="Prozent 2" xfId="9"/>
    <cellStyle name="Standard" xfId="0" builtinId="0"/>
    <cellStyle name="Standard 2" xfId="6"/>
    <cellStyle name="Standard 3" xfId="7"/>
    <cellStyle name="Standard 4" xfId="10"/>
    <cellStyle name="Standard_Sammelauswertung" xfId="5"/>
  </cellStyles>
  <dxfs count="4">
    <dxf>
      <font>
        <color theme="0" tint="-0.14996795556505021"/>
      </font>
    </dxf>
    <dxf>
      <font>
        <strike/>
      </font>
    </dxf>
    <dxf>
      <font>
        <strike/>
      </font>
    </dxf>
    <dxf>
      <font>
        <color theme="0"/>
      </font>
      <border>
        <left/>
        <right/>
        <top/>
        <bottom/>
        <vertical/>
        <horizontal/>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004284"/>
      <rgbColor rgb="00FF8080"/>
      <rgbColor rgb="000066CC"/>
      <rgbColor rgb="00CCCCFF"/>
      <rgbColor rgb="00000080"/>
      <rgbColor rgb="00002E88"/>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EFEF"/>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3B4395"/>
      <color rgb="FFE71D72"/>
      <color rgb="FFE6F3ED"/>
      <color rgb="FFE4F4FE"/>
      <color rgb="FF0075BF"/>
      <color rgb="FF83D0F5"/>
      <color rgb="FF787FBD"/>
      <color rgb="FF000000"/>
      <color rgb="FFE9500E"/>
      <color rgb="FF0096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hyperlink" Target="#'ZA allg.'!A1"/><Relationship Id="rId3" Type="http://schemas.openxmlformats.org/officeDocument/2006/relationships/hyperlink" Target="#EMS!A1"/><Relationship Id="rId7" Type="http://schemas.openxmlformats.org/officeDocument/2006/relationships/hyperlink" Target="#'Bank EIN-AUS'!A1"/><Relationship Id="rId12" Type="http://schemas.openxmlformats.org/officeDocument/2006/relationships/hyperlink" Target="#Hilfe!A1"/><Relationship Id="rId2" Type="http://schemas.openxmlformats.org/officeDocument/2006/relationships/image" Target="../media/image1.png"/><Relationship Id="rId1" Type="http://schemas.openxmlformats.org/officeDocument/2006/relationships/hyperlink" Target="#Logo&#252;bersicht!A1"/><Relationship Id="rId6" Type="http://schemas.openxmlformats.org/officeDocument/2006/relationships/hyperlink" Target="#'Paper Diskont'!A1"/><Relationship Id="rId11" Type="http://schemas.openxmlformats.org/officeDocument/2006/relationships/hyperlink" Target="#'Kontakt und Impressum'!A1"/><Relationship Id="rId5" Type="http://schemas.openxmlformats.org/officeDocument/2006/relationships/hyperlink" Target="#'Kassa EIN-AUS'!A1"/><Relationship Id="rId10" Type="http://schemas.openxmlformats.org/officeDocument/2006/relationships/hyperlink" Target="#Maut!A1"/><Relationship Id="rId4" Type="http://schemas.openxmlformats.org/officeDocument/2006/relationships/hyperlink" Target="#Trafik!A1"/><Relationship Id="rId9" Type="http://schemas.openxmlformats.org/officeDocument/2006/relationships/hyperlink" Target="#Kassablock!A1"/></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hyperlink" Target="#Belegverwaltung!A1"/></Relationships>
</file>

<file path=xl/drawings/_rels/drawing3.xml.rels><?xml version="1.0" encoding="UTF-8" standalone="yes"?>
<Relationships xmlns="http://schemas.openxmlformats.org/package/2006/relationships"><Relationship Id="rId3" Type="http://schemas.openxmlformats.org/officeDocument/2006/relationships/hyperlink" Target="#Trafik!M10"/><Relationship Id="rId7" Type="http://schemas.openxmlformats.org/officeDocument/2006/relationships/image" Target="../media/image8.emf"/><Relationship Id="rId2" Type="http://schemas.openxmlformats.org/officeDocument/2006/relationships/image" Target="../media/image3.emf"/><Relationship Id="rId1" Type="http://schemas.openxmlformats.org/officeDocument/2006/relationships/hyperlink" Target="#Belegverwaltung!A1"/><Relationship Id="rId6" Type="http://schemas.openxmlformats.org/officeDocument/2006/relationships/image" Target="../media/image7.emf"/><Relationship Id="rId5" Type="http://schemas.openxmlformats.org/officeDocument/2006/relationships/hyperlink" Target="#Trafik!O14"/><Relationship Id="rId4" Type="http://schemas.openxmlformats.org/officeDocument/2006/relationships/image" Target="../media/image6.emf"/></Relationships>
</file>

<file path=xl/drawings/_rels/drawing4.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hyperlink" Target="#'Kassa EIN-AUS'!I4"/><Relationship Id="rId1" Type="http://schemas.openxmlformats.org/officeDocument/2006/relationships/hyperlink" Target="#Belegverwaltung!A1"/><Relationship Id="rId5" Type="http://schemas.openxmlformats.org/officeDocument/2006/relationships/image" Target="../media/image3.emf"/><Relationship Id="rId4" Type="http://schemas.openxmlformats.org/officeDocument/2006/relationships/hyperlink" Target="#'Kassa EIN-AUS'!I8"/></Relationships>
</file>

<file path=xl/drawings/_rels/drawing5.xml.rels><?xml version="1.0" encoding="UTF-8" standalone="yes"?>
<Relationships xmlns="http://schemas.openxmlformats.org/package/2006/relationships"><Relationship Id="rId3" Type="http://schemas.openxmlformats.org/officeDocument/2006/relationships/hyperlink" Target="#'Paper Diskont'!K11"/><Relationship Id="rId2" Type="http://schemas.openxmlformats.org/officeDocument/2006/relationships/image" Target="../media/image3.emf"/><Relationship Id="rId1" Type="http://schemas.openxmlformats.org/officeDocument/2006/relationships/hyperlink" Target="#Belegverwaltung!A1"/><Relationship Id="rId6" Type="http://schemas.openxmlformats.org/officeDocument/2006/relationships/image" Target="../media/image14.emf"/><Relationship Id="rId5" Type="http://schemas.openxmlformats.org/officeDocument/2006/relationships/hyperlink" Target="#'Paper Diskont'!M14"/><Relationship Id="rId4" Type="http://schemas.openxmlformats.org/officeDocument/2006/relationships/image" Target="../media/image12.emf"/></Relationships>
</file>

<file path=xl/drawings/_rels/drawing6.xml.rels><?xml version="1.0" encoding="UTF-8" standalone="yes"?>
<Relationships xmlns="http://schemas.openxmlformats.org/package/2006/relationships"><Relationship Id="rId3" Type="http://schemas.openxmlformats.org/officeDocument/2006/relationships/image" Target="../media/image3.emf"/><Relationship Id="rId7" Type="http://schemas.openxmlformats.org/officeDocument/2006/relationships/image" Target="../media/image6.emf"/><Relationship Id="rId2" Type="http://schemas.openxmlformats.org/officeDocument/2006/relationships/image" Target="../media/image16.emf"/><Relationship Id="rId1" Type="http://schemas.openxmlformats.org/officeDocument/2006/relationships/hyperlink" Target="#Belegverwaltung!A1"/><Relationship Id="rId6" Type="http://schemas.openxmlformats.org/officeDocument/2006/relationships/hyperlink" Target="#'Bank EIN-AUS'!K4"/><Relationship Id="rId5" Type="http://schemas.openxmlformats.org/officeDocument/2006/relationships/image" Target="../media/image12.emf"/><Relationship Id="rId4" Type="http://schemas.openxmlformats.org/officeDocument/2006/relationships/hyperlink" Target="#'Bank EIN-AUS'!K11"/></Relationships>
</file>

<file path=xl/drawings/_rels/drawing7.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8.emf"/><Relationship Id="rId1" Type="http://schemas.openxmlformats.org/officeDocument/2006/relationships/hyperlink" Target="#Belegverwaltung!A1"/><Relationship Id="rId6" Type="http://schemas.openxmlformats.org/officeDocument/2006/relationships/hyperlink" Target="#'ZA allg.'!M17"/><Relationship Id="rId5" Type="http://schemas.openxmlformats.org/officeDocument/2006/relationships/image" Target="../media/image12.emf"/><Relationship Id="rId4" Type="http://schemas.openxmlformats.org/officeDocument/2006/relationships/hyperlink" Target="#'ZA allg.'!M19"/></Relationships>
</file>

<file path=xl/drawings/_rels/drawing8.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0.jpeg"/><Relationship Id="rId1" Type="http://schemas.openxmlformats.org/officeDocument/2006/relationships/hyperlink" Target="#Belegverwaltung!A1"/><Relationship Id="rId6" Type="http://schemas.openxmlformats.org/officeDocument/2006/relationships/image" Target="../media/image21.emf"/><Relationship Id="rId5" Type="http://schemas.openxmlformats.org/officeDocument/2006/relationships/image" Target="../media/image6.emf"/><Relationship Id="rId4" Type="http://schemas.openxmlformats.org/officeDocument/2006/relationships/hyperlink" Target="#Maut!J11"/></Relationships>
</file>

<file path=xl/drawings/_rels/drawing9.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hyperlink" Target="#Belegverwaltung!A1"/></Relationships>
</file>

<file path=xl/drawings/_rels/drawing10.xml.rels><?xml version="1.0" encoding="UTF-8" standalone="yes"?>
<Relationships xmlns="http://schemas.openxmlformats.org/package/2006/relationships"><Relationship Id="rId8" Type="http://schemas.openxmlformats.org/officeDocument/2006/relationships/image" Target="../media/image28.emf"/><Relationship Id="rId13" Type="http://schemas.openxmlformats.org/officeDocument/2006/relationships/image" Target="../media/image33.emf"/><Relationship Id="rId18" Type="http://schemas.openxmlformats.org/officeDocument/2006/relationships/image" Target="../media/image38.emf"/><Relationship Id="rId3" Type="http://schemas.openxmlformats.org/officeDocument/2006/relationships/image" Target="../media/image24.emf"/><Relationship Id="rId21" Type="http://schemas.openxmlformats.org/officeDocument/2006/relationships/image" Target="../media/image18.emf"/><Relationship Id="rId7" Type="http://schemas.openxmlformats.org/officeDocument/2006/relationships/image" Target="../media/image27.emf"/><Relationship Id="rId12" Type="http://schemas.openxmlformats.org/officeDocument/2006/relationships/image" Target="../media/image32.emf"/><Relationship Id="rId17" Type="http://schemas.openxmlformats.org/officeDocument/2006/relationships/image" Target="../media/image37.emf"/><Relationship Id="rId2" Type="http://schemas.openxmlformats.org/officeDocument/2006/relationships/image" Target="../media/image23.emf"/><Relationship Id="rId16" Type="http://schemas.openxmlformats.org/officeDocument/2006/relationships/image" Target="../media/image36.emf"/><Relationship Id="rId20" Type="http://schemas.openxmlformats.org/officeDocument/2006/relationships/image" Target="../media/image40.emf"/><Relationship Id="rId1" Type="http://schemas.openxmlformats.org/officeDocument/2006/relationships/hyperlink" Target="#Belegverwaltung!A1"/><Relationship Id="rId6" Type="http://schemas.openxmlformats.org/officeDocument/2006/relationships/image" Target="../media/image26.emf"/><Relationship Id="rId11" Type="http://schemas.openxmlformats.org/officeDocument/2006/relationships/image" Target="../media/image31.emf"/><Relationship Id="rId5" Type="http://schemas.openxmlformats.org/officeDocument/2006/relationships/image" Target="../media/image25.emf"/><Relationship Id="rId15" Type="http://schemas.openxmlformats.org/officeDocument/2006/relationships/image" Target="../media/image35.emf"/><Relationship Id="rId10" Type="http://schemas.openxmlformats.org/officeDocument/2006/relationships/image" Target="../media/image30.emf"/><Relationship Id="rId19" Type="http://schemas.openxmlformats.org/officeDocument/2006/relationships/image" Target="../media/image39.emf"/><Relationship Id="rId4" Type="http://schemas.openxmlformats.org/officeDocument/2006/relationships/image" Target="../media/image16.emf"/><Relationship Id="rId9" Type="http://schemas.openxmlformats.org/officeDocument/2006/relationships/image" Target="../media/image29.emf"/><Relationship Id="rId14" Type="http://schemas.openxmlformats.org/officeDocument/2006/relationships/image" Target="../media/image34.emf"/></Relationships>
</file>

<file path=xl/drawings/_rels/drawing11.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6.emf"/><Relationship Id="rId1" Type="http://schemas.openxmlformats.org/officeDocument/2006/relationships/hyperlink" Target="#Belegverwaltung!A1"/></Relationships>
</file>

<file path=xl/drawings/_rels/drawing12.xml.rels><?xml version="1.0" encoding="UTF-8" standalone="yes"?>
<Relationships xmlns="http://schemas.openxmlformats.org/package/2006/relationships"><Relationship Id="rId2" Type="http://schemas.openxmlformats.org/officeDocument/2006/relationships/hyperlink" Target="mailto:rechnungswesen@lernenwillmehr.at?subject=Belegkiste" TargetMode="External"/><Relationship Id="rId1" Type="http://schemas.openxmlformats.org/officeDocument/2006/relationships/hyperlink" Target="#Belegverwaltung!A1"/></Relationships>
</file>

<file path=xl/drawings/_rels/drawing13.xml.rels><?xml version="1.0" encoding="UTF-8" standalone="yes"?>
<Relationships xmlns="http://schemas.openxmlformats.org/package/2006/relationships"><Relationship Id="rId1" Type="http://schemas.openxmlformats.org/officeDocument/2006/relationships/image" Target="../media/image61.png"/></Relationships>
</file>

<file path=xl/drawings/_rels/drawing14.xml.rels><?xml version="1.0" encoding="UTF-8" standalone="yes"?>
<Relationships xmlns="http://schemas.openxmlformats.org/package/2006/relationships"><Relationship Id="rId13" Type="http://schemas.openxmlformats.org/officeDocument/2006/relationships/image" Target="../media/image74.jpeg"/><Relationship Id="rId18" Type="http://schemas.openxmlformats.org/officeDocument/2006/relationships/image" Target="../media/image79.jpeg"/><Relationship Id="rId26" Type="http://schemas.openxmlformats.org/officeDocument/2006/relationships/image" Target="../media/image86.png"/><Relationship Id="rId3" Type="http://schemas.openxmlformats.org/officeDocument/2006/relationships/image" Target="../media/image64.jpg"/><Relationship Id="rId21" Type="http://schemas.openxmlformats.org/officeDocument/2006/relationships/image" Target="../media/image82.jpeg"/><Relationship Id="rId34" Type="http://schemas.openxmlformats.org/officeDocument/2006/relationships/image" Target="../media/image93.emf"/><Relationship Id="rId7" Type="http://schemas.openxmlformats.org/officeDocument/2006/relationships/image" Target="../media/image68.jpeg"/><Relationship Id="rId12" Type="http://schemas.openxmlformats.org/officeDocument/2006/relationships/image" Target="../media/image73.jpeg"/><Relationship Id="rId17" Type="http://schemas.openxmlformats.org/officeDocument/2006/relationships/image" Target="../media/image78.jpeg"/><Relationship Id="rId25" Type="http://schemas.openxmlformats.org/officeDocument/2006/relationships/image" Target="../media/image85.png"/><Relationship Id="rId33" Type="http://schemas.openxmlformats.org/officeDocument/2006/relationships/image" Target="../media/image92.png"/><Relationship Id="rId2" Type="http://schemas.openxmlformats.org/officeDocument/2006/relationships/image" Target="../media/image63.jpeg"/><Relationship Id="rId16" Type="http://schemas.openxmlformats.org/officeDocument/2006/relationships/image" Target="../media/image77.jpeg"/><Relationship Id="rId20" Type="http://schemas.openxmlformats.org/officeDocument/2006/relationships/image" Target="../media/image81.jpeg"/><Relationship Id="rId29" Type="http://schemas.openxmlformats.org/officeDocument/2006/relationships/image" Target="../media/image89.png"/><Relationship Id="rId1" Type="http://schemas.openxmlformats.org/officeDocument/2006/relationships/image" Target="../media/image62.jpeg"/><Relationship Id="rId6" Type="http://schemas.openxmlformats.org/officeDocument/2006/relationships/image" Target="../media/image67.jpeg"/><Relationship Id="rId11" Type="http://schemas.openxmlformats.org/officeDocument/2006/relationships/image" Target="../media/image72.jpeg"/><Relationship Id="rId24" Type="http://schemas.openxmlformats.org/officeDocument/2006/relationships/image" Target="../media/image84.png"/><Relationship Id="rId32" Type="http://schemas.openxmlformats.org/officeDocument/2006/relationships/image" Target="../media/image91.JPG"/><Relationship Id="rId5" Type="http://schemas.openxmlformats.org/officeDocument/2006/relationships/image" Target="../media/image66.jpeg"/><Relationship Id="rId15" Type="http://schemas.openxmlformats.org/officeDocument/2006/relationships/image" Target="../media/image76.jpeg"/><Relationship Id="rId23" Type="http://schemas.microsoft.com/office/2007/relationships/hdphoto" Target="../media/hdphoto1.wdp"/><Relationship Id="rId28" Type="http://schemas.openxmlformats.org/officeDocument/2006/relationships/image" Target="../media/image88.png"/><Relationship Id="rId10" Type="http://schemas.openxmlformats.org/officeDocument/2006/relationships/image" Target="../media/image71.jpeg"/><Relationship Id="rId19" Type="http://schemas.openxmlformats.org/officeDocument/2006/relationships/image" Target="../media/image80.jpeg"/><Relationship Id="rId31" Type="http://schemas.openxmlformats.org/officeDocument/2006/relationships/image" Target="../media/image90.jpeg"/><Relationship Id="rId4" Type="http://schemas.openxmlformats.org/officeDocument/2006/relationships/image" Target="../media/image65.jpeg"/><Relationship Id="rId9" Type="http://schemas.openxmlformats.org/officeDocument/2006/relationships/image" Target="../media/image70.jpeg"/><Relationship Id="rId14" Type="http://schemas.openxmlformats.org/officeDocument/2006/relationships/image" Target="../media/image75.jpeg"/><Relationship Id="rId22" Type="http://schemas.openxmlformats.org/officeDocument/2006/relationships/image" Target="../media/image83.png"/><Relationship Id="rId27" Type="http://schemas.openxmlformats.org/officeDocument/2006/relationships/image" Target="../media/image87.png"/><Relationship Id="rId30" Type="http://schemas.openxmlformats.org/officeDocument/2006/relationships/image" Target="../media/image3.emf"/><Relationship Id="rId35" Type="http://schemas.openxmlformats.org/officeDocument/2006/relationships/image" Target="../media/image94.emf"/><Relationship Id="rId8" Type="http://schemas.openxmlformats.org/officeDocument/2006/relationships/image" Target="../media/image69.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9.emf"/><Relationship Id="rId1" Type="http://schemas.openxmlformats.org/officeDocument/2006/relationships/image" Target="../media/image5.emf"/><Relationship Id="rId4" Type="http://schemas.openxmlformats.org/officeDocument/2006/relationships/image" Target="../media/image11.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13.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5.emf"/><Relationship Id="rId2" Type="http://schemas.openxmlformats.org/officeDocument/2006/relationships/image" Target="../media/image13.emf"/><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5.emf"/><Relationship Id="rId1" Type="http://schemas.openxmlformats.org/officeDocument/2006/relationships/image" Target="../media/image17.png"/><Relationship Id="rId4" Type="http://schemas.openxmlformats.org/officeDocument/2006/relationships/image" Target="../media/image9.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5.emf"/><Relationship Id="rId1" Type="http://schemas.openxmlformats.org/officeDocument/2006/relationships/image" Target="../media/image19.png"/></Relationships>
</file>

<file path=xl/drawings/_rels/vmlDrawing7.vml.rels><?xml version="1.0" encoding="UTF-8" standalone="yes"?>
<Relationships xmlns="http://schemas.openxmlformats.org/package/2006/relationships"><Relationship Id="rId3" Type="http://schemas.openxmlformats.org/officeDocument/2006/relationships/image" Target="../media/image22.emf"/><Relationship Id="rId2" Type="http://schemas.openxmlformats.org/officeDocument/2006/relationships/image" Target="../media/image9.emf"/><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8" Type="http://schemas.openxmlformats.org/officeDocument/2006/relationships/image" Target="../media/image48.png"/><Relationship Id="rId13" Type="http://schemas.openxmlformats.org/officeDocument/2006/relationships/image" Target="../media/image53.png"/><Relationship Id="rId18" Type="http://schemas.openxmlformats.org/officeDocument/2006/relationships/image" Target="../media/image58.png"/><Relationship Id="rId3" Type="http://schemas.openxmlformats.org/officeDocument/2006/relationships/image" Target="../media/image43.png"/><Relationship Id="rId7" Type="http://schemas.openxmlformats.org/officeDocument/2006/relationships/image" Target="../media/image47.png"/><Relationship Id="rId12" Type="http://schemas.openxmlformats.org/officeDocument/2006/relationships/image" Target="../media/image52.png"/><Relationship Id="rId17" Type="http://schemas.openxmlformats.org/officeDocument/2006/relationships/image" Target="../media/image57.png"/><Relationship Id="rId2" Type="http://schemas.openxmlformats.org/officeDocument/2006/relationships/image" Target="../media/image42.png"/><Relationship Id="rId16" Type="http://schemas.openxmlformats.org/officeDocument/2006/relationships/image" Target="../media/image56.png"/><Relationship Id="rId20" Type="http://schemas.openxmlformats.org/officeDocument/2006/relationships/image" Target="../media/image60.png"/><Relationship Id="rId1" Type="http://schemas.openxmlformats.org/officeDocument/2006/relationships/image" Target="../media/image41.png"/><Relationship Id="rId6" Type="http://schemas.openxmlformats.org/officeDocument/2006/relationships/image" Target="../media/image46.png"/><Relationship Id="rId11" Type="http://schemas.openxmlformats.org/officeDocument/2006/relationships/image" Target="../media/image51.png"/><Relationship Id="rId5" Type="http://schemas.openxmlformats.org/officeDocument/2006/relationships/image" Target="../media/image45.png"/><Relationship Id="rId15" Type="http://schemas.openxmlformats.org/officeDocument/2006/relationships/image" Target="../media/image55.png"/><Relationship Id="rId10" Type="http://schemas.openxmlformats.org/officeDocument/2006/relationships/image" Target="../media/image50.png"/><Relationship Id="rId19" Type="http://schemas.openxmlformats.org/officeDocument/2006/relationships/image" Target="../media/image59.png"/><Relationship Id="rId4" Type="http://schemas.openxmlformats.org/officeDocument/2006/relationships/image" Target="../media/image44.png"/><Relationship Id="rId9" Type="http://schemas.openxmlformats.org/officeDocument/2006/relationships/image" Target="../media/image49.png"/><Relationship Id="rId14" Type="http://schemas.openxmlformats.org/officeDocument/2006/relationships/image" Target="../media/image54.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13.emf"/><Relationship Id="rId1" Type="http://schemas.openxmlformats.org/officeDocument/2006/relationships/image" Target="../media/image9.emf"/></Relationships>
</file>

<file path=xl/drawings/_rels/vmlDrawing12.vml.rels><?xml version="1.0" encoding="UTF-8" standalone="yes"?>
<Relationships xmlns="http://schemas.openxmlformats.org/package/2006/relationships"><Relationship Id="rId3" Type="http://schemas.openxmlformats.org/officeDocument/2006/relationships/image" Target="../media/image96.emf"/><Relationship Id="rId2" Type="http://schemas.openxmlformats.org/officeDocument/2006/relationships/image" Target="../media/image95.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4</xdr:col>
      <xdr:colOff>9525</xdr:colOff>
      <xdr:row>36</xdr:row>
      <xdr:rowOff>57150</xdr:rowOff>
    </xdr:from>
    <xdr:to>
      <xdr:col>6</xdr:col>
      <xdr:colOff>375</xdr:colOff>
      <xdr:row>38</xdr:row>
      <xdr:rowOff>193875</xdr:rowOff>
    </xdr:to>
    <xdr:sp macro="" textlink="">
      <xdr:nvSpPr>
        <xdr:cNvPr id="40" name="Abgerundetes Rechteck 39">
          <a:hlinkClick xmlns:r="http://schemas.openxmlformats.org/officeDocument/2006/relationships" r:id="rId1"/>
        </xdr:cNvPr>
        <xdr:cNvSpPr/>
      </xdr:nvSpPr>
      <xdr:spPr>
        <a:xfrm>
          <a:off x="6867525" y="7124700"/>
          <a:ext cx="3096000" cy="43200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xdr:twoCellAnchor editAs="oneCell">
    <xdr:from>
      <xdr:col>4</xdr:col>
      <xdr:colOff>1906573</xdr:colOff>
      <xdr:row>1</xdr:row>
      <xdr:rowOff>70063</xdr:rowOff>
    </xdr:from>
    <xdr:to>
      <xdr:col>4</xdr:col>
      <xdr:colOff>2842573</xdr:colOff>
      <xdr:row>2</xdr:row>
      <xdr:rowOff>728113</xdr:rowOff>
    </xdr:to>
    <xdr:pic>
      <xdr:nvPicPr>
        <xdr:cNvPr id="2" name="Grafik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64573" y="260563"/>
          <a:ext cx="936000" cy="943800"/>
        </a:xfrm>
        <a:prstGeom prst="rect">
          <a:avLst/>
        </a:prstGeom>
      </xdr:spPr>
    </xdr:pic>
    <xdr:clientData/>
  </xdr:twoCellAnchor>
  <xdr:twoCellAnchor>
    <xdr:from>
      <xdr:col>1</xdr:col>
      <xdr:colOff>8791</xdr:colOff>
      <xdr:row>8</xdr:row>
      <xdr:rowOff>40299</xdr:rowOff>
    </xdr:from>
    <xdr:to>
      <xdr:col>2</xdr:col>
      <xdr:colOff>2797</xdr:colOff>
      <xdr:row>10</xdr:row>
      <xdr:rowOff>193875</xdr:rowOff>
    </xdr:to>
    <xdr:grpSp>
      <xdr:nvGrpSpPr>
        <xdr:cNvPr id="9" name="Gruppieren 8"/>
        <xdr:cNvGrpSpPr/>
      </xdr:nvGrpSpPr>
      <xdr:grpSpPr>
        <a:xfrm>
          <a:off x="323116" y="2516799"/>
          <a:ext cx="4042131" cy="439326"/>
          <a:chOff x="323849" y="5447568"/>
          <a:chExt cx="4045794" cy="446653"/>
        </a:xfrm>
      </xdr:grpSpPr>
      <xdr:sp macro="" textlink="">
        <xdr:nvSpPr>
          <xdr:cNvPr id="25" name="Abgerundetes Rechteck 24">
            <a:hlinkClick xmlns:r="http://schemas.openxmlformats.org/officeDocument/2006/relationships" r:id="rId3"/>
          </xdr:cNvPr>
          <xdr:cNvSpPr/>
        </xdr:nvSpPr>
        <xdr:spPr>
          <a:xfrm>
            <a:off x="324583" y="5454894"/>
            <a:ext cx="4042263" cy="439327"/>
          </a:xfrm>
          <a:prstGeom prst="roundRect">
            <a:avLst/>
          </a:prstGeom>
          <a:solidFill>
            <a:srgbClr val="3B4395"/>
          </a:solidFill>
          <a:ln w="3175">
            <a:noFill/>
          </a:ln>
        </xdr:spPr>
        <xdr:style>
          <a:lnRef idx="2">
            <a:schemeClr val="dk1"/>
          </a:lnRef>
          <a:fillRef idx="1">
            <a:schemeClr val="lt1"/>
          </a:fillRef>
          <a:effectRef idx="0">
            <a:schemeClr val="dk1"/>
          </a:effectRef>
          <a:fontRef idx="minor">
            <a:schemeClr val="dk1"/>
          </a:fontRef>
        </xdr:style>
      </xdr:sp>
      <xdr:sp macro="" textlink="$B$9">
        <xdr:nvSpPr>
          <xdr:cNvPr id="61" name="Textfeld 60">
            <a:hlinkClick xmlns:r="http://schemas.openxmlformats.org/officeDocument/2006/relationships" r:id="rId3"/>
          </xdr:cNvPr>
          <xdr:cNvSpPr txBox="1"/>
        </xdr:nvSpPr>
        <xdr:spPr>
          <a:xfrm>
            <a:off x="323849" y="5447568"/>
            <a:ext cx="4045794" cy="4298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BC8DC467-90EA-441E-8C4B-343049793DB5}" type="TxLink">
              <a:rPr lang="en-US" sz="1100" b="1" i="0" u="none" strike="noStrike">
                <a:solidFill>
                  <a:schemeClr val="bg1"/>
                </a:solidFill>
                <a:latin typeface="Trebuchet MS"/>
              </a:rPr>
              <a:pPr algn="ctr"/>
              <a:t>Post - EMS-Gebühr</a:t>
            </a:fld>
            <a:endParaRPr lang="de-AT" sz="1100">
              <a:solidFill>
                <a:schemeClr val="bg1"/>
              </a:solidFill>
            </a:endParaRPr>
          </a:p>
        </xdr:txBody>
      </xdr:sp>
    </xdr:grpSp>
    <xdr:clientData/>
  </xdr:twoCellAnchor>
  <xdr:twoCellAnchor>
    <xdr:from>
      <xdr:col>1</xdr:col>
      <xdr:colOff>5860</xdr:colOff>
      <xdr:row>12</xdr:row>
      <xdr:rowOff>57150</xdr:rowOff>
    </xdr:from>
    <xdr:to>
      <xdr:col>2</xdr:col>
      <xdr:colOff>0</xdr:colOff>
      <xdr:row>14</xdr:row>
      <xdr:rowOff>203400</xdr:rowOff>
    </xdr:to>
    <xdr:grpSp>
      <xdr:nvGrpSpPr>
        <xdr:cNvPr id="12" name="Gruppieren 11">
          <a:hlinkClick xmlns:r="http://schemas.openxmlformats.org/officeDocument/2006/relationships" r:id="rId4"/>
        </xdr:cNvPr>
        <xdr:cNvGrpSpPr/>
      </xdr:nvGrpSpPr>
      <xdr:grpSpPr>
        <a:xfrm>
          <a:off x="320185" y="3105150"/>
          <a:ext cx="4042265" cy="432000"/>
          <a:chOff x="320918" y="6636727"/>
          <a:chExt cx="4045928" cy="446654"/>
        </a:xfrm>
      </xdr:grpSpPr>
      <xdr:sp macro="" textlink="">
        <xdr:nvSpPr>
          <xdr:cNvPr id="26" name="Abgerundetes Rechteck 25">
            <a:hlinkClick xmlns:r="http://schemas.openxmlformats.org/officeDocument/2006/relationships" r:id="rId4"/>
          </xdr:cNvPr>
          <xdr:cNvSpPr/>
        </xdr:nvSpPr>
        <xdr:spPr>
          <a:xfrm>
            <a:off x="324583" y="6636727"/>
            <a:ext cx="4042263" cy="446654"/>
          </a:xfrm>
          <a:prstGeom prst="roundRect">
            <a:avLst/>
          </a:prstGeom>
          <a:solidFill>
            <a:srgbClr val="00964F"/>
          </a:solidFill>
          <a:ln w="3175">
            <a:noFill/>
          </a:ln>
        </xdr:spPr>
        <xdr:style>
          <a:lnRef idx="2">
            <a:schemeClr val="dk1"/>
          </a:lnRef>
          <a:fillRef idx="1">
            <a:schemeClr val="lt1"/>
          </a:fillRef>
          <a:effectRef idx="0">
            <a:schemeClr val="dk1"/>
          </a:effectRef>
          <a:fontRef idx="minor">
            <a:schemeClr val="dk1"/>
          </a:fontRef>
        </xdr:style>
      </xdr:sp>
      <xdr:sp macro="" textlink="$B$13">
        <xdr:nvSpPr>
          <xdr:cNvPr id="64" name="Textfeld 63"/>
          <xdr:cNvSpPr txBox="1"/>
        </xdr:nvSpPr>
        <xdr:spPr>
          <a:xfrm>
            <a:off x="320918" y="6636727"/>
            <a:ext cx="4039200" cy="43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3F996E87-12A9-425D-A1DB-CFFAB03E04F5}" type="TxLink">
              <a:rPr lang="en-US" sz="1100" b="1" i="0" u="none" strike="noStrike">
                <a:solidFill>
                  <a:schemeClr val="bg1"/>
                </a:solidFill>
                <a:latin typeface="Trebuchet MS"/>
              </a:rPr>
              <a:pPr algn="ctr"/>
              <a:t>Trafik</a:t>
            </a:fld>
            <a:endParaRPr lang="de-AT" sz="1100">
              <a:solidFill>
                <a:schemeClr val="bg1"/>
              </a:solidFill>
            </a:endParaRPr>
          </a:p>
        </xdr:txBody>
      </xdr:sp>
    </xdr:grpSp>
    <xdr:clientData/>
  </xdr:twoCellAnchor>
  <xdr:twoCellAnchor>
    <xdr:from>
      <xdr:col>1</xdr:col>
      <xdr:colOff>9525</xdr:colOff>
      <xdr:row>16</xdr:row>
      <xdr:rowOff>57149</xdr:rowOff>
    </xdr:from>
    <xdr:to>
      <xdr:col>2</xdr:col>
      <xdr:colOff>600</xdr:colOff>
      <xdr:row>18</xdr:row>
      <xdr:rowOff>193875</xdr:rowOff>
    </xdr:to>
    <xdr:grpSp>
      <xdr:nvGrpSpPr>
        <xdr:cNvPr id="65" name="Gruppieren 64"/>
        <xdr:cNvGrpSpPr/>
      </xdr:nvGrpSpPr>
      <xdr:grpSpPr>
        <a:xfrm>
          <a:off x="323850" y="3676649"/>
          <a:ext cx="4039200" cy="422476"/>
          <a:chOff x="324583" y="7237534"/>
          <a:chExt cx="4042863" cy="437129"/>
        </a:xfrm>
      </xdr:grpSpPr>
      <xdr:sp macro="" textlink="">
        <xdr:nvSpPr>
          <xdr:cNvPr id="13" name="Abgerundetes Rechteck 12">
            <a:hlinkClick xmlns:r="http://schemas.openxmlformats.org/officeDocument/2006/relationships" r:id="rId5"/>
          </xdr:cNvPr>
          <xdr:cNvSpPr/>
        </xdr:nvSpPr>
        <xdr:spPr>
          <a:xfrm>
            <a:off x="324583" y="7237535"/>
            <a:ext cx="4042263" cy="437128"/>
          </a:xfrm>
          <a:prstGeom prst="roundRect">
            <a:avLst/>
          </a:prstGeom>
          <a:solidFill>
            <a:srgbClr val="FBBA00"/>
          </a:solidFill>
          <a:ln w="3175">
            <a:noFill/>
          </a:ln>
        </xdr:spPr>
        <xdr:style>
          <a:lnRef idx="2">
            <a:schemeClr val="dk1"/>
          </a:lnRef>
          <a:fillRef idx="1">
            <a:schemeClr val="lt1"/>
          </a:fillRef>
          <a:effectRef idx="0">
            <a:schemeClr val="dk1"/>
          </a:effectRef>
          <a:fontRef idx="minor">
            <a:schemeClr val="dk1"/>
          </a:fontRef>
        </xdr:style>
      </xdr:sp>
      <xdr:sp macro="" textlink="$B$17">
        <xdr:nvSpPr>
          <xdr:cNvPr id="66" name="Textfeld 65">
            <a:hlinkClick xmlns:r="http://schemas.openxmlformats.org/officeDocument/2006/relationships" r:id="rId5"/>
          </xdr:cNvPr>
          <xdr:cNvSpPr txBox="1"/>
        </xdr:nvSpPr>
        <xdr:spPr>
          <a:xfrm>
            <a:off x="328246" y="7237534"/>
            <a:ext cx="4039200" cy="43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B529A3D-CBCE-48D8-87AD-D31625EC9578}" type="TxLink">
              <a:rPr lang="en-US" sz="1100" b="1" i="0" u="none" strike="noStrike">
                <a:solidFill>
                  <a:schemeClr val="bg1"/>
                </a:solidFill>
                <a:latin typeface="Trebuchet MS"/>
              </a:rPr>
              <a:pPr algn="ctr"/>
              <a:t>Kassa EIN-AUS</a:t>
            </a:fld>
            <a:endParaRPr lang="de-AT" sz="1100">
              <a:solidFill>
                <a:schemeClr val="bg1"/>
              </a:solidFill>
            </a:endParaRPr>
          </a:p>
        </xdr:txBody>
      </xdr:sp>
    </xdr:grpSp>
    <xdr:clientData/>
  </xdr:twoCellAnchor>
  <xdr:twoCellAnchor>
    <xdr:from>
      <xdr:col>1</xdr:col>
      <xdr:colOff>5860</xdr:colOff>
      <xdr:row>20</xdr:row>
      <xdr:rowOff>57150</xdr:rowOff>
    </xdr:from>
    <xdr:to>
      <xdr:col>2</xdr:col>
      <xdr:colOff>0</xdr:colOff>
      <xdr:row>22</xdr:row>
      <xdr:rowOff>193875</xdr:rowOff>
    </xdr:to>
    <xdr:grpSp>
      <xdr:nvGrpSpPr>
        <xdr:cNvPr id="76" name="Gruppieren 75"/>
        <xdr:cNvGrpSpPr/>
      </xdr:nvGrpSpPr>
      <xdr:grpSpPr>
        <a:xfrm>
          <a:off x="320185" y="4248150"/>
          <a:ext cx="4042265" cy="422475"/>
          <a:chOff x="320918" y="11443188"/>
          <a:chExt cx="4045928" cy="437129"/>
        </a:xfrm>
      </xdr:grpSpPr>
      <xdr:sp macro="" textlink="">
        <xdr:nvSpPr>
          <xdr:cNvPr id="29" name="Abgerundetes Rechteck 28">
            <a:hlinkClick xmlns:r="http://schemas.openxmlformats.org/officeDocument/2006/relationships" r:id="rId6"/>
          </xdr:cNvPr>
          <xdr:cNvSpPr/>
        </xdr:nvSpPr>
        <xdr:spPr>
          <a:xfrm>
            <a:off x="324583" y="11443188"/>
            <a:ext cx="4042263" cy="437129"/>
          </a:xfrm>
          <a:prstGeom prst="roundRect">
            <a:avLst/>
          </a:prstGeom>
          <a:solidFill>
            <a:srgbClr val="00A7E7"/>
          </a:solidFill>
          <a:ln w="3175">
            <a:noFill/>
          </a:ln>
        </xdr:spPr>
        <xdr:style>
          <a:lnRef idx="2">
            <a:schemeClr val="dk1"/>
          </a:lnRef>
          <a:fillRef idx="1">
            <a:schemeClr val="lt1"/>
          </a:fillRef>
          <a:effectRef idx="0">
            <a:schemeClr val="dk1"/>
          </a:effectRef>
          <a:fontRef idx="minor">
            <a:schemeClr val="dk1"/>
          </a:fontRef>
        </xdr:style>
      </xdr:sp>
      <xdr:sp macro="" textlink="$B$21">
        <xdr:nvSpPr>
          <xdr:cNvPr id="77" name="Textfeld 76">
            <a:hlinkClick xmlns:r="http://schemas.openxmlformats.org/officeDocument/2006/relationships" r:id="rId6"/>
          </xdr:cNvPr>
          <xdr:cNvSpPr txBox="1"/>
        </xdr:nvSpPr>
        <xdr:spPr>
          <a:xfrm>
            <a:off x="320918" y="11443189"/>
            <a:ext cx="4039200" cy="43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9F5ECC8-B51E-4112-8265-90A956DD051A}" type="TxLink">
              <a:rPr lang="en-US" sz="1100" b="1" i="0" u="none" strike="noStrike">
                <a:solidFill>
                  <a:schemeClr val="bg1"/>
                </a:solidFill>
                <a:latin typeface="Trebuchet MS"/>
              </a:rPr>
              <a:pPr algn="ctr"/>
              <a:t>Paper Diskont</a:t>
            </a:fld>
            <a:endParaRPr lang="de-AT" sz="1100">
              <a:solidFill>
                <a:schemeClr val="bg1"/>
              </a:solidFill>
            </a:endParaRPr>
          </a:p>
        </xdr:txBody>
      </xdr:sp>
    </xdr:grpSp>
    <xdr:clientData/>
  </xdr:twoCellAnchor>
  <xdr:twoCellAnchor>
    <xdr:from>
      <xdr:col>1</xdr:col>
      <xdr:colOff>5861</xdr:colOff>
      <xdr:row>24</xdr:row>
      <xdr:rowOff>57149</xdr:rowOff>
    </xdr:from>
    <xdr:to>
      <xdr:col>2</xdr:col>
      <xdr:colOff>0</xdr:colOff>
      <xdr:row>26</xdr:row>
      <xdr:rowOff>193875</xdr:rowOff>
    </xdr:to>
    <xdr:grpSp>
      <xdr:nvGrpSpPr>
        <xdr:cNvPr id="82" name="Gruppieren 81"/>
        <xdr:cNvGrpSpPr/>
      </xdr:nvGrpSpPr>
      <xdr:grpSpPr>
        <a:xfrm>
          <a:off x="320186" y="4819649"/>
          <a:ext cx="4042264" cy="422476"/>
          <a:chOff x="320919" y="13245611"/>
          <a:chExt cx="4045927" cy="437129"/>
        </a:xfrm>
      </xdr:grpSpPr>
      <xdr:sp macro="" textlink="">
        <xdr:nvSpPr>
          <xdr:cNvPr id="30" name="Abgerundetes Rechteck 29">
            <a:hlinkClick xmlns:r="http://schemas.openxmlformats.org/officeDocument/2006/relationships" r:id="rId7"/>
          </xdr:cNvPr>
          <xdr:cNvSpPr/>
        </xdr:nvSpPr>
        <xdr:spPr>
          <a:xfrm>
            <a:off x="324583" y="13245612"/>
            <a:ext cx="4042263" cy="437128"/>
          </a:xfrm>
          <a:prstGeom prst="roundRect">
            <a:avLst/>
          </a:prstGeom>
          <a:solidFill>
            <a:srgbClr val="E71D72"/>
          </a:solidFill>
          <a:ln w="3175">
            <a:noFill/>
          </a:ln>
        </xdr:spPr>
        <xdr:style>
          <a:lnRef idx="2">
            <a:schemeClr val="dk1"/>
          </a:lnRef>
          <a:fillRef idx="1">
            <a:schemeClr val="lt1"/>
          </a:fillRef>
          <a:effectRef idx="0">
            <a:schemeClr val="dk1"/>
          </a:effectRef>
          <a:fontRef idx="minor">
            <a:schemeClr val="dk1"/>
          </a:fontRef>
        </xdr:style>
      </xdr:sp>
      <xdr:sp macro="" textlink="$B$25">
        <xdr:nvSpPr>
          <xdr:cNvPr id="83" name="Textfeld 82">
            <a:hlinkClick xmlns:r="http://schemas.openxmlformats.org/officeDocument/2006/relationships" r:id="rId7"/>
          </xdr:cNvPr>
          <xdr:cNvSpPr txBox="1"/>
        </xdr:nvSpPr>
        <xdr:spPr>
          <a:xfrm>
            <a:off x="320919" y="13245611"/>
            <a:ext cx="4039200" cy="43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A367A1BC-A043-4DB4-BF32-C9A69590CA29}" type="TxLink">
              <a:rPr lang="en-US" sz="1100" b="1" i="0" u="none" strike="noStrike">
                <a:solidFill>
                  <a:schemeClr val="bg1"/>
                </a:solidFill>
                <a:latin typeface="Trebuchet MS"/>
              </a:rPr>
              <a:pPr algn="ctr"/>
              <a:t>Bank EIN-AUS</a:t>
            </a:fld>
            <a:endParaRPr lang="de-AT" sz="1100">
              <a:solidFill>
                <a:schemeClr val="bg1"/>
              </a:solidFill>
            </a:endParaRPr>
          </a:p>
        </xdr:txBody>
      </xdr:sp>
    </xdr:grpSp>
    <xdr:clientData/>
  </xdr:twoCellAnchor>
  <xdr:twoCellAnchor>
    <xdr:from>
      <xdr:col>1</xdr:col>
      <xdr:colOff>7327</xdr:colOff>
      <xdr:row>28</xdr:row>
      <xdr:rowOff>57150</xdr:rowOff>
    </xdr:from>
    <xdr:to>
      <xdr:col>2</xdr:col>
      <xdr:colOff>0</xdr:colOff>
      <xdr:row>30</xdr:row>
      <xdr:rowOff>193875</xdr:rowOff>
    </xdr:to>
    <xdr:grpSp>
      <xdr:nvGrpSpPr>
        <xdr:cNvPr id="84" name="Gruppieren 83"/>
        <xdr:cNvGrpSpPr/>
      </xdr:nvGrpSpPr>
      <xdr:grpSpPr>
        <a:xfrm>
          <a:off x="321652" y="5391150"/>
          <a:ext cx="4040798" cy="422475"/>
          <a:chOff x="322385" y="13846419"/>
          <a:chExt cx="4044461" cy="437129"/>
        </a:xfrm>
      </xdr:grpSpPr>
      <xdr:sp macro="" textlink="">
        <xdr:nvSpPr>
          <xdr:cNvPr id="33" name="Abgerundetes Rechteck 32">
            <a:hlinkClick xmlns:r="http://schemas.openxmlformats.org/officeDocument/2006/relationships" r:id="rId8"/>
          </xdr:cNvPr>
          <xdr:cNvSpPr/>
        </xdr:nvSpPr>
        <xdr:spPr>
          <a:xfrm>
            <a:off x="324583" y="13846419"/>
            <a:ext cx="4042263" cy="437129"/>
          </a:xfrm>
          <a:prstGeom prst="roundRect">
            <a:avLst/>
          </a:prstGeom>
          <a:solidFill>
            <a:srgbClr val="00964F"/>
          </a:solidFill>
          <a:ln w="3175">
            <a:noFill/>
          </a:ln>
        </xdr:spPr>
        <xdr:style>
          <a:lnRef idx="2">
            <a:schemeClr val="dk1"/>
          </a:lnRef>
          <a:fillRef idx="1">
            <a:schemeClr val="lt1"/>
          </a:fillRef>
          <a:effectRef idx="0">
            <a:schemeClr val="dk1"/>
          </a:effectRef>
          <a:fontRef idx="minor">
            <a:schemeClr val="dk1"/>
          </a:fontRef>
        </xdr:style>
      </xdr:sp>
      <xdr:sp macro="" textlink="$B$29">
        <xdr:nvSpPr>
          <xdr:cNvPr id="85" name="Textfeld 84">
            <a:hlinkClick xmlns:r="http://schemas.openxmlformats.org/officeDocument/2006/relationships" r:id="rId8"/>
          </xdr:cNvPr>
          <xdr:cNvSpPr txBox="1"/>
        </xdr:nvSpPr>
        <xdr:spPr>
          <a:xfrm>
            <a:off x="322385" y="13846420"/>
            <a:ext cx="4039200" cy="43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585DE20-32DC-4D77-83DF-5A8A297F71C6}" type="TxLink">
              <a:rPr lang="en-US" sz="1100" b="1" i="0" u="none" strike="noStrike">
                <a:solidFill>
                  <a:schemeClr val="bg1"/>
                </a:solidFill>
                <a:latin typeface="Trebuchet MS"/>
              </a:rPr>
              <a:pPr algn="ctr"/>
              <a:t>Zahlungsanweisung allgemein</a:t>
            </a:fld>
            <a:endParaRPr lang="de-AT" sz="1100">
              <a:solidFill>
                <a:schemeClr val="bg1"/>
              </a:solidFill>
            </a:endParaRPr>
          </a:p>
        </xdr:txBody>
      </xdr:sp>
    </xdr:grpSp>
    <xdr:clientData/>
  </xdr:twoCellAnchor>
  <xdr:twoCellAnchor>
    <xdr:from>
      <xdr:col>1</xdr:col>
      <xdr:colOff>9525</xdr:colOff>
      <xdr:row>36</xdr:row>
      <xdr:rowOff>57157</xdr:rowOff>
    </xdr:from>
    <xdr:to>
      <xdr:col>2</xdr:col>
      <xdr:colOff>599</xdr:colOff>
      <xdr:row>38</xdr:row>
      <xdr:rowOff>193893</xdr:rowOff>
    </xdr:to>
    <xdr:grpSp>
      <xdr:nvGrpSpPr>
        <xdr:cNvPr id="50" name="Gruppieren 49"/>
        <xdr:cNvGrpSpPr/>
      </xdr:nvGrpSpPr>
      <xdr:grpSpPr>
        <a:xfrm>
          <a:off x="323850" y="6534157"/>
          <a:ext cx="4039199" cy="432011"/>
          <a:chOff x="323850" y="25431757"/>
          <a:chExt cx="4039199" cy="432011"/>
        </a:xfrm>
      </xdr:grpSpPr>
      <xdr:sp macro="" textlink="">
        <xdr:nvSpPr>
          <xdr:cNvPr id="54" name="Abgerundetes Rechteck 53">
            <a:hlinkClick xmlns:r="http://schemas.openxmlformats.org/officeDocument/2006/relationships" r:id="rId9"/>
          </xdr:cNvPr>
          <xdr:cNvSpPr/>
        </xdr:nvSpPr>
        <xdr:spPr>
          <a:xfrm>
            <a:off x="323850" y="25431768"/>
            <a:ext cx="4038602" cy="432000"/>
          </a:xfrm>
          <a:prstGeom prst="roundRect">
            <a:avLst/>
          </a:prstGeom>
          <a:solidFill>
            <a:srgbClr val="E9500E"/>
          </a:solidFill>
          <a:ln w="3175">
            <a:noFill/>
          </a:ln>
        </xdr:spPr>
        <xdr:style>
          <a:lnRef idx="2">
            <a:schemeClr val="dk1"/>
          </a:lnRef>
          <a:fillRef idx="1">
            <a:schemeClr val="lt1"/>
          </a:fillRef>
          <a:effectRef idx="0">
            <a:schemeClr val="dk1"/>
          </a:effectRef>
          <a:fontRef idx="minor">
            <a:schemeClr val="dk1"/>
          </a:fontRef>
        </xdr:style>
      </xdr:sp>
      <xdr:sp macro="" textlink="$B$37">
        <xdr:nvSpPr>
          <xdr:cNvPr id="115" name="Textfeld 114">
            <a:hlinkClick xmlns:r="http://schemas.openxmlformats.org/officeDocument/2006/relationships" r:id="rId9"/>
          </xdr:cNvPr>
          <xdr:cNvSpPr txBox="1"/>
        </xdr:nvSpPr>
        <xdr:spPr>
          <a:xfrm>
            <a:off x="327509" y="25431757"/>
            <a:ext cx="4035540" cy="4269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D861204-D2AE-4C03-AB69-8F3B29FCC88F}" type="TxLink">
              <a:rPr lang="en-US" sz="1100" b="1" i="0" u="none" strike="noStrike">
                <a:solidFill>
                  <a:schemeClr val="bg1"/>
                </a:solidFill>
                <a:latin typeface="Trebuchet MS"/>
              </a:rPr>
              <a:pPr algn="ctr"/>
              <a:t>Kassablock</a:t>
            </a:fld>
            <a:endParaRPr lang="de-AT" sz="1100">
              <a:solidFill>
                <a:schemeClr val="bg1"/>
              </a:solidFill>
            </a:endParaRPr>
          </a:p>
        </xdr:txBody>
      </xdr:sp>
    </xdr:grpSp>
    <xdr:clientData/>
  </xdr:twoCellAnchor>
  <xdr:twoCellAnchor>
    <xdr:from>
      <xdr:col>1</xdr:col>
      <xdr:colOff>4395</xdr:colOff>
      <xdr:row>32</xdr:row>
      <xdr:rowOff>55686</xdr:rowOff>
    </xdr:from>
    <xdr:to>
      <xdr:col>2</xdr:col>
      <xdr:colOff>0</xdr:colOff>
      <xdr:row>34</xdr:row>
      <xdr:rowOff>193875</xdr:rowOff>
    </xdr:to>
    <xdr:grpSp>
      <xdr:nvGrpSpPr>
        <xdr:cNvPr id="126" name="Gruppieren 125"/>
        <xdr:cNvGrpSpPr/>
      </xdr:nvGrpSpPr>
      <xdr:grpSpPr>
        <a:xfrm>
          <a:off x="318720" y="5961186"/>
          <a:ext cx="4043730" cy="423939"/>
          <a:chOff x="319453" y="25260301"/>
          <a:chExt cx="4047393" cy="438593"/>
        </a:xfrm>
      </xdr:grpSpPr>
      <xdr:sp macro="" textlink="">
        <xdr:nvSpPr>
          <xdr:cNvPr id="53" name="Abgerundetes Rechteck 52">
            <a:hlinkClick xmlns:r="http://schemas.openxmlformats.org/officeDocument/2006/relationships" r:id="rId10"/>
          </xdr:cNvPr>
          <xdr:cNvSpPr/>
        </xdr:nvSpPr>
        <xdr:spPr>
          <a:xfrm>
            <a:off x="324583" y="25261765"/>
            <a:ext cx="4042263" cy="437129"/>
          </a:xfrm>
          <a:prstGeom prst="roundRect">
            <a:avLst/>
          </a:prstGeom>
          <a:solidFill>
            <a:srgbClr val="00A7E7"/>
          </a:solidFill>
          <a:ln w="3175">
            <a:noFill/>
          </a:ln>
        </xdr:spPr>
        <xdr:style>
          <a:lnRef idx="2">
            <a:schemeClr val="dk1"/>
          </a:lnRef>
          <a:fillRef idx="1">
            <a:schemeClr val="lt1"/>
          </a:fillRef>
          <a:effectRef idx="0">
            <a:schemeClr val="dk1"/>
          </a:effectRef>
          <a:fontRef idx="minor">
            <a:schemeClr val="dk1"/>
          </a:fontRef>
        </xdr:style>
      </xdr:sp>
      <xdr:sp macro="" textlink="$B$33">
        <xdr:nvSpPr>
          <xdr:cNvPr id="127" name="Textfeld 126">
            <a:hlinkClick xmlns:r="http://schemas.openxmlformats.org/officeDocument/2006/relationships" r:id="rId10"/>
          </xdr:cNvPr>
          <xdr:cNvSpPr txBox="1"/>
        </xdr:nvSpPr>
        <xdr:spPr>
          <a:xfrm>
            <a:off x="319453" y="25260301"/>
            <a:ext cx="4039200" cy="43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A1B1F615-5080-4430-A1BA-F6CC2A470E34}" type="TxLink">
              <a:rPr lang="en-US" sz="1100" b="1" i="0" u="none" strike="noStrike">
                <a:solidFill>
                  <a:schemeClr val="bg1"/>
                </a:solidFill>
                <a:latin typeface="Trebuchet MS"/>
              </a:rPr>
              <a:pPr algn="ctr"/>
              <a:t>Maut</a:t>
            </a:fld>
            <a:endParaRPr lang="de-AT" sz="1100">
              <a:solidFill>
                <a:schemeClr val="bg1"/>
              </a:solidFill>
            </a:endParaRPr>
          </a:p>
        </xdr:txBody>
      </xdr:sp>
    </xdr:grpSp>
    <xdr:clientData/>
  </xdr:twoCellAnchor>
  <xdr:twoCellAnchor>
    <xdr:from>
      <xdr:col>4</xdr:col>
      <xdr:colOff>9525</xdr:colOff>
      <xdr:row>44</xdr:row>
      <xdr:rowOff>57150</xdr:rowOff>
    </xdr:from>
    <xdr:to>
      <xdr:col>6</xdr:col>
      <xdr:colOff>375</xdr:colOff>
      <xdr:row>46</xdr:row>
      <xdr:rowOff>193875</xdr:rowOff>
    </xdr:to>
    <xdr:sp macro="" textlink="">
      <xdr:nvSpPr>
        <xdr:cNvPr id="128" name="Abgerundetes Rechteck 127">
          <a:hlinkClick xmlns:r="http://schemas.openxmlformats.org/officeDocument/2006/relationships" r:id="rId11"/>
        </xdr:cNvPr>
        <xdr:cNvSpPr/>
      </xdr:nvSpPr>
      <xdr:spPr>
        <a:xfrm>
          <a:off x="6867525" y="8305800"/>
          <a:ext cx="3096000" cy="43200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xdr:twoCellAnchor>
    <xdr:from>
      <xdr:col>4</xdr:col>
      <xdr:colOff>9525</xdr:colOff>
      <xdr:row>40</xdr:row>
      <xdr:rowOff>57150</xdr:rowOff>
    </xdr:from>
    <xdr:to>
      <xdr:col>6</xdr:col>
      <xdr:colOff>375</xdr:colOff>
      <xdr:row>42</xdr:row>
      <xdr:rowOff>193875</xdr:rowOff>
    </xdr:to>
    <xdr:sp macro="" textlink="">
      <xdr:nvSpPr>
        <xdr:cNvPr id="129" name="Abgerundetes Rechteck 128">
          <a:hlinkClick xmlns:r="http://schemas.openxmlformats.org/officeDocument/2006/relationships" r:id="rId12"/>
        </xdr:cNvPr>
        <xdr:cNvSpPr/>
      </xdr:nvSpPr>
      <xdr:spPr>
        <a:xfrm>
          <a:off x="6867525" y="7715250"/>
          <a:ext cx="3096000" cy="43200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180975</xdr:colOff>
      <xdr:row>0</xdr:row>
      <xdr:rowOff>212193</xdr:rowOff>
    </xdr:from>
    <xdr:to>
      <xdr:col>14</xdr:col>
      <xdr:colOff>248100</xdr:colOff>
      <xdr:row>2</xdr:row>
      <xdr:rowOff>108468</xdr:rowOff>
    </xdr:to>
    <xdr:sp macro="" textlink="">
      <xdr:nvSpPr>
        <xdr:cNvPr id="27" name="Abgerundetes Rechteck 26">
          <a:hlinkClick xmlns:r="http://schemas.openxmlformats.org/officeDocument/2006/relationships" r:id="rId1"/>
        </xdr:cNvPr>
        <xdr:cNvSpPr/>
      </xdr:nvSpPr>
      <xdr:spPr>
        <a:xfrm>
          <a:off x="8210550" y="212193"/>
          <a:ext cx="2800800" cy="45825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3</xdr:col>
          <xdr:colOff>619125</xdr:colOff>
          <xdr:row>34</xdr:row>
          <xdr:rowOff>504825</xdr:rowOff>
        </xdr:from>
        <xdr:to>
          <xdr:col>5</xdr:col>
          <xdr:colOff>66675</xdr:colOff>
          <xdr:row>35</xdr:row>
          <xdr:rowOff>866775</xdr:rowOff>
        </xdr:to>
        <xdr:pic>
          <xdr:nvPicPr>
            <xdr:cNvPr id="7" name="Musterbeleg6"/>
            <xdr:cNvPicPr>
              <a:picLocks noChangeAspect="1"/>
              <a:extLst>
                <a:ext uri="{84589F7E-364E-4C9E-8A38-B11213B215E9}">
                  <a14:cameraTool cellRange="QRCode_Auswahl" spid="_x0000_s5188393"/>
                </a:ext>
              </a:extLst>
            </xdr:cNvPicPr>
          </xdr:nvPicPr>
          <xdr:blipFill rotWithShape="1">
            <a:blip xmlns:r="http://schemas.openxmlformats.org/officeDocument/2006/relationships" r:embed="rId2"/>
            <a:srcRect r="51943" b="50323"/>
            <a:stretch>
              <a:fillRect/>
            </a:stretch>
          </xdr:blipFill>
          <xdr:spPr>
            <a:xfrm>
              <a:off x="1209675" y="7677150"/>
              <a:ext cx="847725" cy="876300"/>
            </a:xfrm>
            <a:prstGeom prst="rect">
              <a:avLst/>
            </a:prstGeom>
          </xdr:spPr>
        </xdr:pic>
        <xdr:clientData/>
      </xdr:twoCellAnchor>
    </mc:Choice>
    <mc:Fallback/>
  </mc:AlternateContent>
  <xdr:twoCellAnchor>
    <xdr:from>
      <xdr:col>11</xdr:col>
      <xdr:colOff>176215</xdr:colOff>
      <xdr:row>3</xdr:row>
      <xdr:rowOff>52386</xdr:rowOff>
    </xdr:from>
    <xdr:to>
      <xdr:col>14</xdr:col>
      <xdr:colOff>248102</xdr:colOff>
      <xdr:row>5</xdr:row>
      <xdr:rowOff>105824</xdr:rowOff>
    </xdr:to>
    <xdr:sp macro="Copy_Beleg" textlink="">
      <xdr:nvSpPr>
        <xdr:cNvPr id="8" name="Belegkopie"/>
        <xdr:cNvSpPr/>
      </xdr:nvSpPr>
      <xdr:spPr>
        <a:xfrm>
          <a:off x="8145465" y="806449"/>
          <a:ext cx="2810325" cy="434438"/>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1</xdr:col>
          <xdr:colOff>104775</xdr:colOff>
          <xdr:row>35</xdr:row>
          <xdr:rowOff>866775</xdr:rowOff>
        </xdr:from>
        <xdr:to>
          <xdr:col>3</xdr:col>
          <xdr:colOff>904875</xdr:colOff>
          <xdr:row>37</xdr:row>
          <xdr:rowOff>171450</xdr:rowOff>
        </xdr:to>
        <xdr:pic>
          <xdr:nvPicPr>
            <xdr:cNvPr id="9" name="Musterbeleg6"/>
            <xdr:cNvPicPr>
              <a:picLocks noChangeAspect="1"/>
              <a:extLst>
                <a:ext uri="{84589F7E-364E-4C9E-8A38-B11213B215E9}">
                  <a14:cameraTool cellRange="Musterbelegauswahl" spid="_x0000_s5188394"/>
                </a:ext>
              </a:extLst>
            </xdr:cNvPicPr>
          </xdr:nvPicPr>
          <xdr:blipFill rotWithShape="1">
            <a:blip xmlns:r="http://schemas.openxmlformats.org/officeDocument/2006/relationships" r:embed="rId3"/>
            <a:srcRect t="23655" b="32259"/>
            <a:stretch>
              <a:fillRect/>
            </a:stretch>
          </xdr:blipFill>
          <xdr:spPr>
            <a:xfrm>
              <a:off x="295275" y="8553450"/>
              <a:ext cx="1200150" cy="390525"/>
            </a:xfrm>
            <a:prstGeom prst="rect">
              <a:avLst/>
            </a:prstGeom>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15</xdr:col>
      <xdr:colOff>180975</xdr:colOff>
      <xdr:row>0</xdr:row>
      <xdr:rowOff>228600</xdr:rowOff>
    </xdr:from>
    <xdr:to>
      <xdr:col>17</xdr:col>
      <xdr:colOff>248100</xdr:colOff>
      <xdr:row>2</xdr:row>
      <xdr:rowOff>96300</xdr:rowOff>
    </xdr:to>
    <xdr:sp macro="" textlink="">
      <xdr:nvSpPr>
        <xdr:cNvPr id="3" name="Abgerundetes Rechteck 2">
          <a:hlinkClick xmlns:r="http://schemas.openxmlformats.org/officeDocument/2006/relationships" r:id="rId1"/>
        </xdr:cNvPr>
        <xdr:cNvSpPr/>
      </xdr:nvSpPr>
      <xdr:spPr>
        <a:xfrm>
          <a:off x="9801225" y="228600"/>
          <a:ext cx="2800800" cy="43920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1</xdr:col>
          <xdr:colOff>28575</xdr:colOff>
          <xdr:row>25</xdr:row>
          <xdr:rowOff>104775</xdr:rowOff>
        </xdr:from>
        <xdr:to>
          <xdr:col>4</xdr:col>
          <xdr:colOff>95250</xdr:colOff>
          <xdr:row>27</xdr:row>
          <xdr:rowOff>114300</xdr:rowOff>
        </xdr:to>
        <xdr:pic>
          <xdr:nvPicPr>
            <xdr:cNvPr id="5" name="Musterbeleg6"/>
            <xdr:cNvPicPr>
              <a:picLocks noChangeAspect="1"/>
              <a:extLst>
                <a:ext uri="{84589F7E-364E-4C9E-8A38-B11213B215E9}">
                  <a14:cameraTool cellRange="Musterbelegauswahl" spid="_x0000_s6669866"/>
                </a:ext>
              </a:extLst>
            </xdr:cNvPicPr>
          </xdr:nvPicPr>
          <xdr:blipFill rotWithShape="1">
            <a:blip xmlns:r="http://schemas.openxmlformats.org/officeDocument/2006/relationships" r:embed="rId2"/>
            <a:srcRect t="23655" b="32259"/>
            <a:stretch>
              <a:fillRect/>
            </a:stretch>
          </xdr:blipFill>
          <xdr:spPr>
            <a:xfrm>
              <a:off x="228600" y="5057775"/>
              <a:ext cx="1200150" cy="390525"/>
            </a:xfrm>
            <a:prstGeom prst="rect">
              <a:avLst/>
            </a:prstGeom>
          </xdr:spPr>
        </xdr:pic>
        <xdr:clientData/>
      </xdr:twoCellAnchor>
    </mc:Choice>
    <mc:Fallback/>
  </mc:AlternateContent>
  <xdr:twoCellAnchor>
    <xdr:from>
      <xdr:col>15</xdr:col>
      <xdr:colOff>184153</xdr:colOff>
      <xdr:row>3</xdr:row>
      <xdr:rowOff>55561</xdr:rowOff>
    </xdr:from>
    <xdr:to>
      <xdr:col>17</xdr:col>
      <xdr:colOff>249690</xdr:colOff>
      <xdr:row>5</xdr:row>
      <xdr:rowOff>108999</xdr:rowOff>
    </xdr:to>
    <xdr:sp macro="Copy_Beleg" textlink="">
      <xdr:nvSpPr>
        <xdr:cNvPr id="7" name="Belegkopie"/>
        <xdr:cNvSpPr/>
      </xdr:nvSpPr>
      <xdr:spPr>
        <a:xfrm>
          <a:off x="9947278" y="817561"/>
          <a:ext cx="2799212" cy="434438"/>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14</xdr:col>
          <xdr:colOff>509194</xdr:colOff>
          <xdr:row>9</xdr:row>
          <xdr:rowOff>1399</xdr:rowOff>
        </xdr:from>
        <xdr:to>
          <xdr:col>15</xdr:col>
          <xdr:colOff>0</xdr:colOff>
          <xdr:row>10</xdr:row>
          <xdr:rowOff>0</xdr:rowOff>
        </xdr:to>
        <xdr:pic>
          <xdr:nvPicPr>
            <xdr:cNvPr id="8" name="Listensymbol">
              <a:hlinkClick xmlns:r="http://schemas.openxmlformats.org/officeDocument/2006/relationships" r:id="rId3"/>
            </xdr:cNvPr>
            <xdr:cNvPicPr>
              <a:picLocks noChangeAspect="1"/>
              <a:extLst>
                <a:ext uri="{84589F7E-364E-4C9E-8A38-B11213B215E9}">
                  <a14:cameraTool cellRange="Listensymbol" spid="_x0000_s6669867"/>
                </a:ext>
              </a:extLst>
            </xdr:cNvPicPr>
          </xdr:nvPicPr>
          <xdr:blipFill>
            <a:blip xmlns:r="http://schemas.openxmlformats.org/officeDocument/2006/relationships" r:embed="rId4"/>
            <a:stretch>
              <a:fillRect/>
            </a:stretch>
          </xdr:blipFill>
          <xdr:spPr>
            <a:xfrm>
              <a:off x="9881794" y="1906399"/>
              <a:ext cx="186131" cy="189101"/>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509194</xdr:colOff>
          <xdr:row>12</xdr:row>
          <xdr:rowOff>1399</xdr:rowOff>
        </xdr:from>
        <xdr:to>
          <xdr:col>15</xdr:col>
          <xdr:colOff>0</xdr:colOff>
          <xdr:row>13</xdr:row>
          <xdr:rowOff>0</xdr:rowOff>
        </xdr:to>
        <xdr:pic>
          <xdr:nvPicPr>
            <xdr:cNvPr id="9" name="Listensymbol">
              <a:hlinkClick xmlns:r="http://schemas.openxmlformats.org/officeDocument/2006/relationships" r:id="rId5"/>
            </xdr:cNvPr>
            <xdr:cNvPicPr>
              <a:picLocks noChangeAspect="1"/>
              <a:extLst>
                <a:ext uri="{84589F7E-364E-4C9E-8A38-B11213B215E9}">
                  <a14:cameraTool cellRange="Listensymbol" spid="_x0000_s6669868"/>
                </a:ext>
              </a:extLst>
            </xdr:cNvPicPr>
          </xdr:nvPicPr>
          <xdr:blipFill>
            <a:blip xmlns:r="http://schemas.openxmlformats.org/officeDocument/2006/relationships" r:embed="rId6"/>
            <a:stretch>
              <a:fillRect/>
            </a:stretch>
          </xdr:blipFill>
          <xdr:spPr>
            <a:xfrm>
              <a:off x="9881794" y="2477899"/>
              <a:ext cx="186131" cy="189101"/>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161925</xdr:colOff>
          <xdr:row>20</xdr:row>
          <xdr:rowOff>114300</xdr:rowOff>
        </xdr:from>
        <xdr:to>
          <xdr:col>6</xdr:col>
          <xdr:colOff>528525</xdr:colOff>
          <xdr:row>25</xdr:row>
          <xdr:rowOff>61800</xdr:rowOff>
        </xdr:to>
        <xdr:pic>
          <xdr:nvPicPr>
            <xdr:cNvPr id="10" name="Musterbeleg6"/>
            <xdr:cNvPicPr>
              <a:picLocks noChangeAspect="1"/>
              <a:extLst>
                <a:ext uri="{84589F7E-364E-4C9E-8A38-B11213B215E9}">
                  <a14:cameraTool cellRange="QRCodeTrafik" spid="_x0000_s6669869"/>
                </a:ext>
              </a:extLst>
            </xdr:cNvPicPr>
          </xdr:nvPicPr>
          <xdr:blipFill rotWithShape="1">
            <a:blip xmlns:r="http://schemas.openxmlformats.org/officeDocument/2006/relationships" r:embed="rId7"/>
            <a:srcRect r="51403" b="49783"/>
            <a:stretch>
              <a:fillRect/>
            </a:stretch>
          </xdr:blipFill>
          <xdr:spPr>
            <a:xfrm>
              <a:off x="2000250" y="4114800"/>
              <a:ext cx="900000" cy="900000"/>
            </a:xfrm>
            <a:prstGeom prst="rect">
              <a:avLst/>
            </a:prstGeom>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266700</xdr:colOff>
      <xdr:row>0</xdr:row>
      <xdr:rowOff>142875</xdr:rowOff>
    </xdr:from>
    <xdr:to>
      <xdr:col>5</xdr:col>
      <xdr:colOff>171450</xdr:colOff>
      <xdr:row>19</xdr:row>
      <xdr:rowOff>142875</xdr:rowOff>
    </xdr:to>
    <xdr:sp macro="" textlink="">
      <xdr:nvSpPr>
        <xdr:cNvPr id="5" name="Rechteck 4"/>
        <xdr:cNvSpPr/>
      </xdr:nvSpPr>
      <xdr:spPr bwMode="auto">
        <a:xfrm>
          <a:off x="266700" y="142875"/>
          <a:ext cx="4762500" cy="4695825"/>
        </a:xfrm>
        <a:prstGeom prst="rect">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lang="de-AT" sz="1100"/>
        </a:p>
      </xdr:txBody>
    </xdr:sp>
    <xdr:clientData/>
  </xdr:twoCellAnchor>
  <xdr:twoCellAnchor>
    <xdr:from>
      <xdr:col>0</xdr:col>
      <xdr:colOff>409575</xdr:colOff>
      <xdr:row>4</xdr:row>
      <xdr:rowOff>9525</xdr:rowOff>
    </xdr:from>
    <xdr:to>
      <xdr:col>0</xdr:col>
      <xdr:colOff>607575</xdr:colOff>
      <xdr:row>4</xdr:row>
      <xdr:rowOff>207525</xdr:rowOff>
    </xdr:to>
    <xdr:sp macro="" textlink="">
      <xdr:nvSpPr>
        <xdr:cNvPr id="3" name="Ellipse 2"/>
        <xdr:cNvSpPr/>
      </xdr:nvSpPr>
      <xdr:spPr bwMode="auto">
        <a:xfrm>
          <a:off x="409575" y="1028700"/>
          <a:ext cx="198000" cy="198000"/>
        </a:xfrm>
        <a:prstGeom prst="ellipse">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endParaRPr lang="de-AT" sz="1100"/>
        </a:p>
      </xdr:txBody>
    </xdr:sp>
    <xdr:clientData/>
  </xdr:twoCellAnchor>
  <xdr:twoCellAnchor>
    <xdr:from>
      <xdr:col>0</xdr:col>
      <xdr:colOff>419100</xdr:colOff>
      <xdr:row>14</xdr:row>
      <xdr:rowOff>142875</xdr:rowOff>
    </xdr:from>
    <xdr:to>
      <xdr:col>0</xdr:col>
      <xdr:colOff>617100</xdr:colOff>
      <xdr:row>15</xdr:row>
      <xdr:rowOff>74175</xdr:rowOff>
    </xdr:to>
    <xdr:sp macro="" textlink="">
      <xdr:nvSpPr>
        <xdr:cNvPr id="6" name="Ellipse 5"/>
        <xdr:cNvSpPr/>
      </xdr:nvSpPr>
      <xdr:spPr bwMode="auto">
        <a:xfrm>
          <a:off x="419100" y="3829050"/>
          <a:ext cx="198000" cy="198000"/>
        </a:xfrm>
        <a:prstGeom prst="ellipse">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endParaRPr lang="de-AT" sz="1100"/>
        </a:p>
      </xdr:txBody>
    </xdr:sp>
    <xdr:clientData/>
  </xdr:twoCellAnchor>
  <xdr:twoCellAnchor>
    <xdr:from>
      <xdr:col>20</xdr:col>
      <xdr:colOff>161925</xdr:colOff>
      <xdr:row>0</xdr:row>
      <xdr:rowOff>104775</xdr:rowOff>
    </xdr:from>
    <xdr:to>
      <xdr:col>22</xdr:col>
      <xdr:colOff>229050</xdr:colOff>
      <xdr:row>1</xdr:row>
      <xdr:rowOff>162975</xdr:rowOff>
    </xdr:to>
    <xdr:sp macro="" textlink="">
      <xdr:nvSpPr>
        <xdr:cNvPr id="8" name="Abgerundetes Rechteck 7">
          <a:hlinkClick xmlns:r="http://schemas.openxmlformats.org/officeDocument/2006/relationships" r:id="rId1"/>
        </xdr:cNvPr>
        <xdr:cNvSpPr/>
      </xdr:nvSpPr>
      <xdr:spPr>
        <a:xfrm>
          <a:off x="9667875" y="104775"/>
          <a:ext cx="2800800" cy="43920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xdr:twoCellAnchor>
    <xdr:from>
      <xdr:col>20</xdr:col>
      <xdr:colOff>160340</xdr:colOff>
      <xdr:row>2</xdr:row>
      <xdr:rowOff>42861</xdr:rowOff>
    </xdr:from>
    <xdr:to>
      <xdr:col>22</xdr:col>
      <xdr:colOff>230640</xdr:colOff>
      <xdr:row>4</xdr:row>
      <xdr:rowOff>86774</xdr:rowOff>
    </xdr:to>
    <xdr:sp macro="Copy_Beleg" textlink="">
      <xdr:nvSpPr>
        <xdr:cNvPr id="10" name="Belegkopie"/>
        <xdr:cNvSpPr/>
      </xdr:nvSpPr>
      <xdr:spPr>
        <a:xfrm>
          <a:off x="9621840" y="669924"/>
          <a:ext cx="2808738" cy="440788"/>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8</xdr:col>
          <xdr:colOff>1871269</xdr:colOff>
          <xdr:row>3</xdr:row>
          <xdr:rowOff>47625</xdr:rowOff>
        </xdr:from>
        <xdr:to>
          <xdr:col>9</xdr:col>
          <xdr:colOff>0</xdr:colOff>
          <xdr:row>3</xdr:row>
          <xdr:rowOff>236726</xdr:rowOff>
        </xdr:to>
        <xdr:pic>
          <xdr:nvPicPr>
            <xdr:cNvPr id="11" name="Listensymbol">
              <a:hlinkClick xmlns:r="http://schemas.openxmlformats.org/officeDocument/2006/relationships" r:id="rId2"/>
            </xdr:cNvPr>
            <xdr:cNvPicPr>
              <a:picLocks noChangeAspect="1"/>
              <a:extLst>
                <a:ext uri="{84589F7E-364E-4C9E-8A38-B11213B215E9}">
                  <a14:cameraTool cellRange="Listensymbol" spid="_x0000_s6127270"/>
                </a:ext>
              </a:extLst>
            </xdr:cNvPicPr>
          </xdr:nvPicPr>
          <xdr:blipFill>
            <a:blip xmlns:r="http://schemas.openxmlformats.org/officeDocument/2006/relationships" r:embed="rId3"/>
            <a:stretch>
              <a:fillRect/>
            </a:stretch>
          </xdr:blipFill>
          <xdr:spPr>
            <a:xfrm>
              <a:off x="9319819" y="800100"/>
              <a:ext cx="186131" cy="189101"/>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1871269</xdr:colOff>
          <xdr:row>7</xdr:row>
          <xdr:rowOff>38100</xdr:rowOff>
        </xdr:from>
        <xdr:to>
          <xdr:col>9</xdr:col>
          <xdr:colOff>0</xdr:colOff>
          <xdr:row>7</xdr:row>
          <xdr:rowOff>227201</xdr:rowOff>
        </xdr:to>
        <xdr:pic>
          <xdr:nvPicPr>
            <xdr:cNvPr id="12" name="Listensymbol">
              <a:hlinkClick xmlns:r="http://schemas.openxmlformats.org/officeDocument/2006/relationships" r:id="rId4"/>
            </xdr:cNvPr>
            <xdr:cNvPicPr>
              <a:picLocks noChangeAspect="1"/>
              <a:extLst>
                <a:ext uri="{84589F7E-364E-4C9E-8A38-B11213B215E9}">
                  <a14:cameraTool cellRange="Listensymbol" spid="_x0000_s6127271"/>
                </a:ext>
              </a:extLst>
            </xdr:cNvPicPr>
          </xdr:nvPicPr>
          <xdr:blipFill>
            <a:blip xmlns:r="http://schemas.openxmlformats.org/officeDocument/2006/relationships" r:embed="rId3"/>
            <a:stretch>
              <a:fillRect/>
            </a:stretch>
          </xdr:blipFill>
          <xdr:spPr>
            <a:xfrm>
              <a:off x="9319819" y="1857375"/>
              <a:ext cx="186131" cy="189101"/>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704850</xdr:colOff>
          <xdr:row>17</xdr:row>
          <xdr:rowOff>133350</xdr:rowOff>
        </xdr:from>
        <xdr:to>
          <xdr:col>1</xdr:col>
          <xdr:colOff>1143000</xdr:colOff>
          <xdr:row>19</xdr:row>
          <xdr:rowOff>123825</xdr:rowOff>
        </xdr:to>
        <xdr:pic>
          <xdr:nvPicPr>
            <xdr:cNvPr id="13" name="Musterbeleg6"/>
            <xdr:cNvPicPr>
              <a:picLocks noChangeAspect="1"/>
              <a:extLst>
                <a:ext uri="{84589F7E-364E-4C9E-8A38-B11213B215E9}">
                  <a14:cameraTool cellRange="Musterbelegauswahl" spid="_x0000_s6127272"/>
                </a:ext>
              </a:extLst>
            </xdr:cNvPicPr>
          </xdr:nvPicPr>
          <xdr:blipFill rotWithShape="1">
            <a:blip xmlns:r="http://schemas.openxmlformats.org/officeDocument/2006/relationships" r:embed="rId5"/>
            <a:srcRect t="23655" b="32259"/>
            <a:stretch>
              <a:fillRect/>
            </a:stretch>
          </xdr:blipFill>
          <xdr:spPr>
            <a:xfrm>
              <a:off x="704850" y="4448175"/>
              <a:ext cx="1200150" cy="390525"/>
            </a:xfrm>
            <a:prstGeom prst="rect">
              <a:avLst/>
            </a:prstGeom>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13</xdr:col>
      <xdr:colOff>180975</xdr:colOff>
      <xdr:row>0</xdr:row>
      <xdr:rowOff>85725</xdr:rowOff>
    </xdr:from>
    <xdr:to>
      <xdr:col>15</xdr:col>
      <xdr:colOff>248100</xdr:colOff>
      <xdr:row>1</xdr:row>
      <xdr:rowOff>143925</xdr:rowOff>
    </xdr:to>
    <xdr:sp macro="" textlink="">
      <xdr:nvSpPr>
        <xdr:cNvPr id="3" name="Abgerundetes Rechteck 2">
          <a:hlinkClick xmlns:r="http://schemas.openxmlformats.org/officeDocument/2006/relationships" r:id="rId1"/>
        </xdr:cNvPr>
        <xdr:cNvSpPr/>
      </xdr:nvSpPr>
      <xdr:spPr>
        <a:xfrm>
          <a:off x="10763250" y="85725"/>
          <a:ext cx="2800800" cy="43920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1</xdr:col>
          <xdr:colOff>228600</xdr:colOff>
          <xdr:row>39</xdr:row>
          <xdr:rowOff>9526</xdr:rowOff>
        </xdr:from>
        <xdr:to>
          <xdr:col>3</xdr:col>
          <xdr:colOff>85725</xdr:colOff>
          <xdr:row>40</xdr:row>
          <xdr:rowOff>123826</xdr:rowOff>
        </xdr:to>
        <xdr:pic>
          <xdr:nvPicPr>
            <xdr:cNvPr id="4" name="Musterbeleg6"/>
            <xdr:cNvPicPr>
              <a:picLocks noChangeAspect="1"/>
              <a:extLst>
                <a:ext uri="{84589F7E-364E-4C9E-8A38-B11213B215E9}">
                  <a14:cameraTool cellRange="Musterbelegauswahl" spid="_x0000_s6676001"/>
                </a:ext>
              </a:extLst>
            </xdr:cNvPicPr>
          </xdr:nvPicPr>
          <xdr:blipFill rotWithShape="1">
            <a:blip xmlns:r="http://schemas.openxmlformats.org/officeDocument/2006/relationships" r:embed="rId2"/>
            <a:srcRect t="30108" b="35483"/>
            <a:stretch>
              <a:fillRect/>
            </a:stretch>
          </xdr:blipFill>
          <xdr:spPr>
            <a:xfrm>
              <a:off x="523875" y="7839076"/>
              <a:ext cx="1200150" cy="304800"/>
            </a:xfrm>
            <a:prstGeom prst="rect">
              <a:avLst/>
            </a:prstGeom>
          </xdr:spPr>
        </xdr:pic>
        <xdr:clientData/>
      </xdr:twoCellAnchor>
    </mc:Choice>
    <mc:Fallback/>
  </mc:AlternateContent>
  <xdr:twoCellAnchor>
    <xdr:from>
      <xdr:col>13</xdr:col>
      <xdr:colOff>184153</xdr:colOff>
      <xdr:row>2</xdr:row>
      <xdr:rowOff>101598</xdr:rowOff>
    </xdr:from>
    <xdr:to>
      <xdr:col>15</xdr:col>
      <xdr:colOff>256040</xdr:colOff>
      <xdr:row>4</xdr:row>
      <xdr:rowOff>116936</xdr:rowOff>
    </xdr:to>
    <xdr:sp macro="Copy_Beleg" textlink="">
      <xdr:nvSpPr>
        <xdr:cNvPr id="6" name="Belegkopie"/>
        <xdr:cNvSpPr/>
      </xdr:nvSpPr>
      <xdr:spPr>
        <a:xfrm>
          <a:off x="8613778" y="712786"/>
          <a:ext cx="2810325" cy="428088"/>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12</xdr:col>
          <xdr:colOff>490144</xdr:colOff>
          <xdr:row>10</xdr:row>
          <xdr:rowOff>20449</xdr:rowOff>
        </xdr:from>
        <xdr:to>
          <xdr:col>13</xdr:col>
          <xdr:colOff>0</xdr:colOff>
          <xdr:row>11</xdr:row>
          <xdr:rowOff>0</xdr:rowOff>
        </xdr:to>
        <xdr:pic>
          <xdr:nvPicPr>
            <xdr:cNvPr id="7" name="Listensymbol">
              <a:hlinkClick xmlns:r="http://schemas.openxmlformats.org/officeDocument/2006/relationships" r:id="rId3"/>
            </xdr:cNvPr>
            <xdr:cNvPicPr>
              <a:picLocks noChangeAspect="1"/>
              <a:extLst>
                <a:ext uri="{84589F7E-364E-4C9E-8A38-B11213B215E9}">
                  <a14:cameraTool cellRange="Listensymbol" spid="_x0000_s6676002"/>
                </a:ext>
              </a:extLst>
            </xdr:cNvPicPr>
          </xdr:nvPicPr>
          <xdr:blipFill>
            <a:blip xmlns:r="http://schemas.openxmlformats.org/officeDocument/2006/relationships" r:embed="rId4"/>
            <a:stretch>
              <a:fillRect/>
            </a:stretch>
          </xdr:blipFill>
          <xdr:spPr>
            <a:xfrm>
              <a:off x="8357794" y="2306449"/>
              <a:ext cx="186131" cy="189101"/>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490144</xdr:colOff>
          <xdr:row>12</xdr:row>
          <xdr:rowOff>20449</xdr:rowOff>
        </xdr:from>
        <xdr:to>
          <xdr:col>13</xdr:col>
          <xdr:colOff>0</xdr:colOff>
          <xdr:row>13</xdr:row>
          <xdr:rowOff>0</xdr:rowOff>
        </xdr:to>
        <xdr:pic>
          <xdr:nvPicPr>
            <xdr:cNvPr id="8" name="Listensymbol">
              <a:hlinkClick xmlns:r="http://schemas.openxmlformats.org/officeDocument/2006/relationships" r:id="rId5"/>
            </xdr:cNvPr>
            <xdr:cNvPicPr>
              <a:picLocks noChangeAspect="1"/>
              <a:extLst>
                <a:ext uri="{84589F7E-364E-4C9E-8A38-B11213B215E9}">
                  <a14:cameraTool cellRange="Listensymbol" spid="_x0000_s6676003"/>
                </a:ext>
              </a:extLst>
            </xdr:cNvPicPr>
          </xdr:nvPicPr>
          <xdr:blipFill>
            <a:blip xmlns:r="http://schemas.openxmlformats.org/officeDocument/2006/relationships" r:embed="rId4"/>
            <a:stretch>
              <a:fillRect/>
            </a:stretch>
          </xdr:blipFill>
          <xdr:spPr>
            <a:xfrm>
              <a:off x="8357794" y="2725549"/>
              <a:ext cx="186131" cy="189101"/>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33</xdr:row>
          <xdr:rowOff>57150</xdr:rowOff>
        </xdr:from>
        <xdr:to>
          <xdr:col>5</xdr:col>
          <xdr:colOff>80850</xdr:colOff>
          <xdr:row>37</xdr:row>
          <xdr:rowOff>204675</xdr:rowOff>
        </xdr:to>
        <xdr:pic>
          <xdr:nvPicPr>
            <xdr:cNvPr id="9" name="Musterbeleg6"/>
            <xdr:cNvPicPr>
              <a:picLocks noChangeAspect="1"/>
              <a:extLst>
                <a:ext uri="{84589F7E-364E-4C9E-8A38-B11213B215E9}">
                  <a14:cameraTool cellRange="QRCodePaperDiskont" spid="_x0000_s6676004"/>
                </a:ext>
              </a:extLst>
            </xdr:cNvPicPr>
          </xdr:nvPicPr>
          <xdr:blipFill rotWithShape="1">
            <a:blip xmlns:r="http://schemas.openxmlformats.org/officeDocument/2006/relationships" r:embed="rId6"/>
            <a:srcRect r="51403" b="49783"/>
            <a:stretch>
              <a:fillRect/>
            </a:stretch>
          </xdr:blipFill>
          <xdr:spPr>
            <a:xfrm>
              <a:off x="1638300" y="6734175"/>
              <a:ext cx="900000" cy="900000"/>
            </a:xfrm>
            <a:prstGeom prst="rect">
              <a:avLst/>
            </a:prstGeom>
          </xdr:spPr>
        </xdr:pic>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266700</xdr:colOff>
      <xdr:row>0</xdr:row>
      <xdr:rowOff>142875</xdr:rowOff>
    </xdr:from>
    <xdr:to>
      <xdr:col>7</xdr:col>
      <xdr:colOff>171450</xdr:colOff>
      <xdr:row>15</xdr:row>
      <xdr:rowOff>66675</xdr:rowOff>
    </xdr:to>
    <xdr:sp macro="" textlink="">
      <xdr:nvSpPr>
        <xdr:cNvPr id="2" name="Rechteck 1"/>
        <xdr:cNvSpPr/>
      </xdr:nvSpPr>
      <xdr:spPr bwMode="auto">
        <a:xfrm>
          <a:off x="266700" y="142875"/>
          <a:ext cx="4876800" cy="2781300"/>
        </a:xfrm>
        <a:prstGeom prst="rect">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lang="de-AT" sz="1100"/>
        </a:p>
      </xdr:txBody>
    </xdr:sp>
    <xdr:clientData/>
  </xdr:twoCellAnchor>
  <xdr:twoCellAnchor>
    <xdr:from>
      <xdr:col>11</xdr:col>
      <xdr:colOff>333375</xdr:colOff>
      <xdr:row>0</xdr:row>
      <xdr:rowOff>295273</xdr:rowOff>
    </xdr:from>
    <xdr:to>
      <xdr:col>13</xdr:col>
      <xdr:colOff>219525</xdr:colOff>
      <xdr:row>3</xdr:row>
      <xdr:rowOff>0</xdr:rowOff>
    </xdr:to>
    <xdr:sp macro="" textlink="">
      <xdr:nvSpPr>
        <xdr:cNvPr id="5" name="Abgerundetes Rechteck 4">
          <a:hlinkClick xmlns:r="http://schemas.openxmlformats.org/officeDocument/2006/relationships" r:id="rId1"/>
        </xdr:cNvPr>
        <xdr:cNvSpPr/>
      </xdr:nvSpPr>
      <xdr:spPr>
        <a:xfrm>
          <a:off x="9496425" y="295273"/>
          <a:ext cx="2800800" cy="428627"/>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absolute">
        <xdr:from>
          <xdr:col>0</xdr:col>
          <xdr:colOff>346923</xdr:colOff>
          <xdr:row>0</xdr:row>
          <xdr:rowOff>357189</xdr:rowOff>
        </xdr:from>
        <xdr:to>
          <xdr:col>2</xdr:col>
          <xdr:colOff>294058</xdr:colOff>
          <xdr:row>3</xdr:row>
          <xdr:rowOff>195263</xdr:rowOff>
        </xdr:to>
        <xdr:pic>
          <xdr:nvPicPr>
            <xdr:cNvPr id="9" name="Image4"/>
            <xdr:cNvPicPr preferRelativeResize="0">
              <a:picLocks noChangeAspect="1" noChangeArrowheads="1" noChangeShapeType="1"/>
              <a:extLst>
                <a:ext uri="{84589F7E-364E-4C9E-8A38-B11213B215E9}">
                  <a14:cameraTool cellRange="Bild4" spid="_x0000_s6771235"/>
                </a:ext>
              </a:extLst>
            </xdr:cNvPicPr>
          </xdr:nvPicPr>
          <xdr:blipFill rotWithShape="1">
            <a:blip xmlns:r="http://schemas.openxmlformats.org/officeDocument/2006/relationships" r:embed="rId2"/>
            <a:srcRect t="15413" b="4779"/>
            <a:stretch>
              <a:fillRect/>
            </a:stretch>
          </xdr:blipFill>
          <xdr:spPr bwMode="auto">
            <a:xfrm>
              <a:off x="346923" y="357189"/>
              <a:ext cx="804385" cy="561974"/>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twoCellAnchor>
    </mc:Choice>
    <mc:Fallback/>
  </mc:AlternateContent>
  <xdr:twoCellAnchor>
    <xdr:from>
      <xdr:col>2</xdr:col>
      <xdr:colOff>187121</xdr:colOff>
      <xdr:row>10</xdr:row>
      <xdr:rowOff>190500</xdr:rowOff>
    </xdr:from>
    <xdr:to>
      <xdr:col>2</xdr:col>
      <xdr:colOff>654229</xdr:colOff>
      <xdr:row>12</xdr:row>
      <xdr:rowOff>286787</xdr:rowOff>
    </xdr:to>
    <xdr:sp macro="" textlink="">
      <xdr:nvSpPr>
        <xdr:cNvPr id="21" name="Freihandform 20"/>
        <xdr:cNvSpPr/>
      </xdr:nvSpPr>
      <xdr:spPr bwMode="auto">
        <a:xfrm>
          <a:off x="1044371" y="2076450"/>
          <a:ext cx="467108" cy="515387"/>
        </a:xfrm>
        <a:custGeom>
          <a:avLst/>
          <a:gdLst>
            <a:gd name="connsiteX0" fmla="*/ 355804 w 467108"/>
            <a:gd name="connsiteY0" fmla="*/ 0 h 515387"/>
            <a:gd name="connsiteX1" fmla="*/ 193879 w 467108"/>
            <a:gd name="connsiteY1" fmla="*/ 495300 h 515387"/>
            <a:gd name="connsiteX2" fmla="*/ 3379 w 467108"/>
            <a:gd name="connsiteY2" fmla="*/ 390525 h 515387"/>
            <a:gd name="connsiteX3" fmla="*/ 365329 w 467108"/>
            <a:gd name="connsiteY3" fmla="*/ 514350 h 515387"/>
            <a:gd name="connsiteX4" fmla="*/ 460579 w 467108"/>
            <a:gd name="connsiteY4" fmla="*/ 447675 h 515387"/>
            <a:gd name="connsiteX5" fmla="*/ 451054 w 467108"/>
            <a:gd name="connsiteY5" fmla="*/ 409575 h 5153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67108" h="515387">
              <a:moveTo>
                <a:pt x="355804" y="0"/>
              </a:moveTo>
              <a:cubicBezTo>
                <a:pt x="304210" y="215106"/>
                <a:pt x="252616" y="430213"/>
                <a:pt x="193879" y="495300"/>
              </a:cubicBezTo>
              <a:cubicBezTo>
                <a:pt x="135142" y="560387"/>
                <a:pt x="-25196" y="387350"/>
                <a:pt x="3379" y="390525"/>
              </a:cubicBezTo>
              <a:cubicBezTo>
                <a:pt x="31954" y="393700"/>
                <a:pt x="289129" y="504825"/>
                <a:pt x="365329" y="514350"/>
              </a:cubicBezTo>
              <a:cubicBezTo>
                <a:pt x="441529" y="523875"/>
                <a:pt x="446292" y="465137"/>
                <a:pt x="460579" y="447675"/>
              </a:cubicBezTo>
              <a:cubicBezTo>
                <a:pt x="474866" y="430213"/>
                <a:pt x="462960" y="419894"/>
                <a:pt x="451054" y="409575"/>
              </a:cubicBezTo>
            </a:path>
          </a:pathLst>
        </a:custGeom>
        <a:no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endParaRPr lang="de-AT" sz="1100"/>
        </a:p>
      </xdr:txBody>
    </xdr:sp>
    <xdr:clientData/>
  </xdr:twoCellAnchor>
  <xdr:oneCellAnchor>
    <xdr:from>
      <xdr:col>3</xdr:col>
      <xdr:colOff>590550</xdr:colOff>
      <xdr:row>12</xdr:row>
      <xdr:rowOff>0</xdr:rowOff>
    </xdr:from>
    <xdr:ext cx="2286000" cy="375424"/>
    <xdr:sp macro="" textlink="$K$8">
      <xdr:nvSpPr>
        <xdr:cNvPr id="23" name="Rechteck 22"/>
        <xdr:cNvSpPr/>
      </xdr:nvSpPr>
      <xdr:spPr>
        <a:xfrm>
          <a:off x="2667000" y="2305050"/>
          <a:ext cx="2286000" cy="375424"/>
        </a:xfrm>
        <a:prstGeom prst="rect">
          <a:avLst/>
        </a:prstGeom>
        <a:noFill/>
      </xdr:spPr>
      <xdr:txBody>
        <a:bodyPr wrap="square" lIns="91440" tIns="45720" rIns="91440" bIns="45720">
          <a:spAutoFit/>
        </a:bodyPr>
        <a:lstStyle/>
        <a:p>
          <a:pPr algn="ctr"/>
          <a:fld id="{A1690DF6-1004-435B-97CE-CCDCC0BFEF79}" type="TxLink">
            <a:rPr lang="en-US" sz="1800" b="0" i="0" u="none" strike="noStrike" cap="none" spc="0">
              <a:ln w="0"/>
              <a:solidFill>
                <a:srgbClr val="3B4395"/>
              </a:solidFill>
              <a:effectLst/>
              <a:latin typeface="Brush Script MT" panose="03060802040406070304" pitchFamily="66" charset="0"/>
              <a:ea typeface="Verdana"/>
              <a:cs typeface="Verdana"/>
            </a:rPr>
            <a:pPr algn="ctr"/>
            <a:t>Maria Bauer</a:t>
          </a:fld>
          <a:endParaRPr lang="en-US" sz="1800" b="0" cap="none" spc="0">
            <a:ln w="0"/>
            <a:solidFill>
              <a:srgbClr val="3B4395"/>
            </a:solidFill>
            <a:effectLst/>
            <a:latin typeface="Brush Script MT" panose="03060802040406070304" pitchFamily="66" charset="0"/>
            <a:ea typeface="+mn-ea"/>
            <a:cs typeface="+mn-cs"/>
          </a:endParaRPr>
        </a:p>
      </xdr:txBody>
    </xdr:sp>
    <xdr:clientData/>
  </xdr:oneCellAnchor>
  <xdr:twoCellAnchor editAs="oneCell">
    <xdr:from>
      <xdr:col>0</xdr:col>
      <xdr:colOff>514350</xdr:colOff>
      <xdr:row>0</xdr:row>
      <xdr:rowOff>133350</xdr:rowOff>
    </xdr:from>
    <xdr:to>
      <xdr:col>2</xdr:col>
      <xdr:colOff>371475</xdr:colOff>
      <xdr:row>2</xdr:row>
      <xdr:rowOff>66675</xdr:rowOff>
    </xdr:to>
    <xdr:sp macro="" textlink="">
      <xdr:nvSpPr>
        <xdr:cNvPr id="37762" name="AutoShape 898"/>
        <xdr:cNvSpPr>
          <a:spLocks noChangeAspect="1" noChangeArrowheads="1"/>
        </xdr:cNvSpPr>
      </xdr:nvSpPr>
      <xdr:spPr bwMode="auto">
        <a:xfrm>
          <a:off x="514350" y="133350"/>
          <a:ext cx="714375" cy="561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485775</xdr:colOff>
          <xdr:row>13</xdr:row>
          <xdr:rowOff>171451</xdr:rowOff>
        </xdr:from>
        <xdr:to>
          <xdr:col>2</xdr:col>
          <xdr:colOff>828675</xdr:colOff>
          <xdr:row>15</xdr:row>
          <xdr:rowOff>9526</xdr:rowOff>
        </xdr:to>
        <xdr:pic>
          <xdr:nvPicPr>
            <xdr:cNvPr id="11" name="Musterbeleg6"/>
            <xdr:cNvPicPr>
              <a:picLocks noChangeAspect="1"/>
              <a:extLst>
                <a:ext uri="{84589F7E-364E-4C9E-8A38-B11213B215E9}">
                  <a14:cameraTool cellRange="Musterbelegauswahl" spid="_x0000_s6771236"/>
                </a:ext>
              </a:extLst>
            </xdr:cNvPicPr>
          </xdr:nvPicPr>
          <xdr:blipFill rotWithShape="1">
            <a:blip xmlns:r="http://schemas.openxmlformats.org/officeDocument/2006/relationships" r:embed="rId3"/>
            <a:srcRect t="27957" b="33333"/>
            <a:stretch>
              <a:fillRect/>
            </a:stretch>
          </xdr:blipFill>
          <xdr:spPr>
            <a:xfrm>
              <a:off x="485775" y="3124201"/>
              <a:ext cx="1200150" cy="342900"/>
            </a:xfrm>
            <a:prstGeom prst="rect">
              <a:avLst/>
            </a:prstGeom>
          </xdr:spPr>
        </xdr:pic>
        <xdr:clientData/>
      </xdr:twoCellAnchor>
    </mc:Choice>
    <mc:Fallback/>
  </mc:AlternateContent>
  <xdr:twoCellAnchor>
    <xdr:from>
      <xdr:col>11</xdr:col>
      <xdr:colOff>341315</xdr:colOff>
      <xdr:row>3</xdr:row>
      <xdr:rowOff>201611</xdr:rowOff>
    </xdr:from>
    <xdr:to>
      <xdr:col>13</xdr:col>
      <xdr:colOff>233815</xdr:colOff>
      <xdr:row>6</xdr:row>
      <xdr:rowOff>10574</xdr:rowOff>
    </xdr:to>
    <xdr:sp macro="Copy_Beleg" textlink="">
      <xdr:nvSpPr>
        <xdr:cNvPr id="12" name="Belegkopie"/>
        <xdr:cNvSpPr/>
      </xdr:nvSpPr>
      <xdr:spPr>
        <a:xfrm>
          <a:off x="9504365" y="925511"/>
          <a:ext cx="2807150" cy="437613"/>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10</xdr:col>
          <xdr:colOff>2090344</xdr:colOff>
          <xdr:row>10</xdr:row>
          <xdr:rowOff>0</xdr:rowOff>
        </xdr:from>
        <xdr:to>
          <xdr:col>11</xdr:col>
          <xdr:colOff>0</xdr:colOff>
          <xdr:row>10</xdr:row>
          <xdr:rowOff>189101</xdr:rowOff>
        </xdr:to>
        <xdr:pic>
          <xdr:nvPicPr>
            <xdr:cNvPr id="10" name="Listensymbol">
              <a:hlinkClick xmlns:r="http://schemas.openxmlformats.org/officeDocument/2006/relationships" r:id="rId4"/>
            </xdr:cNvPr>
            <xdr:cNvPicPr>
              <a:picLocks noChangeAspect="1"/>
              <a:extLst>
                <a:ext uri="{84589F7E-364E-4C9E-8A38-B11213B215E9}">
                  <a14:cameraTool cellRange="Listensymbol" spid="_x0000_s6771237"/>
                </a:ext>
              </a:extLst>
            </xdr:cNvPicPr>
          </xdr:nvPicPr>
          <xdr:blipFill>
            <a:blip xmlns:r="http://schemas.openxmlformats.org/officeDocument/2006/relationships" r:embed="rId5"/>
            <a:stretch>
              <a:fillRect/>
            </a:stretch>
          </xdr:blipFill>
          <xdr:spPr>
            <a:xfrm>
              <a:off x="9195994" y="2190750"/>
              <a:ext cx="186131" cy="189101"/>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2090344</xdr:colOff>
          <xdr:row>3</xdr:row>
          <xdr:rowOff>20449</xdr:rowOff>
        </xdr:from>
        <xdr:to>
          <xdr:col>11</xdr:col>
          <xdr:colOff>0</xdr:colOff>
          <xdr:row>4</xdr:row>
          <xdr:rowOff>0</xdr:rowOff>
        </xdr:to>
        <xdr:pic>
          <xdr:nvPicPr>
            <xdr:cNvPr id="13" name="Listensymbol">
              <a:hlinkClick xmlns:r="http://schemas.openxmlformats.org/officeDocument/2006/relationships" r:id="rId6"/>
            </xdr:cNvPr>
            <xdr:cNvPicPr>
              <a:picLocks noChangeAspect="1"/>
              <a:extLst>
                <a:ext uri="{84589F7E-364E-4C9E-8A38-B11213B215E9}">
                  <a14:cameraTool cellRange="Listensymbol" spid="_x0000_s6771238"/>
                </a:ext>
              </a:extLst>
            </xdr:cNvPicPr>
          </xdr:nvPicPr>
          <xdr:blipFill>
            <a:blip xmlns:r="http://schemas.openxmlformats.org/officeDocument/2006/relationships" r:embed="rId7"/>
            <a:stretch>
              <a:fillRect/>
            </a:stretch>
          </xdr:blipFill>
          <xdr:spPr>
            <a:xfrm>
              <a:off x="9195994" y="744349"/>
              <a:ext cx="186131" cy="189101"/>
            </a:xfrm>
            <a:prstGeom prst="rect">
              <a:avLst/>
            </a:prstGeom>
          </xdr:spPr>
        </xdr:pic>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14</xdr:col>
      <xdr:colOff>161925</xdr:colOff>
      <xdr:row>0</xdr:row>
      <xdr:rowOff>95250</xdr:rowOff>
    </xdr:from>
    <xdr:to>
      <xdr:col>16</xdr:col>
      <xdr:colOff>229050</xdr:colOff>
      <xdr:row>2</xdr:row>
      <xdr:rowOff>39150</xdr:rowOff>
    </xdr:to>
    <xdr:sp macro="" textlink="">
      <xdr:nvSpPr>
        <xdr:cNvPr id="4" name="Abgerundetes Rechteck 3">
          <a:hlinkClick xmlns:r="http://schemas.openxmlformats.org/officeDocument/2006/relationships" r:id="rId1"/>
        </xdr:cNvPr>
        <xdr:cNvSpPr/>
      </xdr:nvSpPr>
      <xdr:spPr>
        <a:xfrm>
          <a:off x="10677525" y="95250"/>
          <a:ext cx="2800800" cy="43920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absolute">
        <xdr:from>
          <xdr:col>1</xdr:col>
          <xdr:colOff>104775</xdr:colOff>
          <xdr:row>2</xdr:row>
          <xdr:rowOff>19050</xdr:rowOff>
        </xdr:from>
        <xdr:to>
          <xdr:col>3</xdr:col>
          <xdr:colOff>18225</xdr:colOff>
          <xdr:row>4</xdr:row>
          <xdr:rowOff>151574</xdr:rowOff>
        </xdr:to>
        <xdr:pic>
          <xdr:nvPicPr>
            <xdr:cNvPr id="6" name="Image5"/>
            <xdr:cNvPicPr preferRelativeResize="0">
              <a:picLocks noChangeAspect="1" noChangeArrowheads="1" noChangeShapeType="1"/>
              <a:extLst>
                <a:ext uri="{84589F7E-364E-4C9E-8A38-B11213B215E9}">
                  <a14:cameraTool cellRange="Bild5" spid="_x0000_s6677024"/>
                </a:ext>
              </a:extLst>
            </xdr:cNvPicPr>
          </xdr:nvPicPr>
          <xdr:blipFill rotWithShape="1">
            <a:blip xmlns:r="http://schemas.openxmlformats.org/officeDocument/2006/relationships" r:embed="rId2"/>
            <a:srcRect t="9450"/>
            <a:stretch>
              <a:fillRect/>
            </a:stretch>
          </xdr:blipFill>
          <xdr:spPr bwMode="auto">
            <a:xfrm>
              <a:off x="276225" y="514350"/>
              <a:ext cx="504000" cy="456374"/>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twoCellAnchor>
    </mc:Choice>
    <mc:Fallback/>
  </mc:AlternateContent>
  <xdr:twoCellAnchor>
    <xdr:from>
      <xdr:col>5</xdr:col>
      <xdr:colOff>1212961</xdr:colOff>
      <xdr:row>13</xdr:row>
      <xdr:rowOff>180442</xdr:rowOff>
    </xdr:from>
    <xdr:to>
      <xdr:col>8</xdr:col>
      <xdr:colOff>214724</xdr:colOff>
      <xdr:row>17</xdr:row>
      <xdr:rowOff>122518</xdr:rowOff>
    </xdr:to>
    <xdr:grpSp>
      <xdr:nvGrpSpPr>
        <xdr:cNvPr id="7" name="Gruppieren 6"/>
        <xdr:cNvGrpSpPr/>
      </xdr:nvGrpSpPr>
      <xdr:grpSpPr>
        <a:xfrm rot="20567198">
          <a:off x="3346561" y="2637892"/>
          <a:ext cx="1840213" cy="665976"/>
          <a:chOff x="6499336" y="5019142"/>
          <a:chExt cx="2164063" cy="704076"/>
        </a:xfrm>
      </xdr:grpSpPr>
      <xdr:sp macro="" textlink="$M$22">
        <xdr:nvSpPr>
          <xdr:cNvPr id="5" name="Textfeld 4"/>
          <xdr:cNvSpPr txBox="1"/>
        </xdr:nvSpPr>
        <xdr:spPr>
          <a:xfrm>
            <a:off x="6509833" y="5019142"/>
            <a:ext cx="2153566" cy="239977"/>
          </a:xfrm>
          <a:prstGeom prst="rect">
            <a:avLst/>
          </a:prstGeom>
          <a:noFill/>
          <a:ln w="12700">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1A2503C1-0D94-4481-B0CF-ECD403E659BC}" type="TxLink">
              <a:rPr lang="en-US" sz="1000" b="0" i="0" u="none" strike="noStrike">
                <a:solidFill>
                  <a:schemeClr val="tx1">
                    <a:lumMod val="50000"/>
                    <a:lumOff val="50000"/>
                  </a:schemeClr>
                </a:solidFill>
                <a:effectLst/>
                <a:latin typeface="Arial"/>
                <a:ea typeface="+mn-ea"/>
                <a:cs typeface="Arial"/>
              </a:rPr>
              <a:pPr algn="ctr"/>
              <a:t> </a:t>
            </a:fld>
            <a:endParaRPr lang="de-AT">
              <a:solidFill>
                <a:schemeClr val="tx1">
                  <a:lumMod val="50000"/>
                  <a:lumOff val="50000"/>
                </a:schemeClr>
              </a:solidFill>
              <a:effectLst/>
              <a:latin typeface="Candara" panose="020E0502030303020204" pitchFamily="34" charset="0"/>
            </a:endParaRPr>
          </a:p>
        </xdr:txBody>
      </xdr:sp>
      <xdr:sp macro="" textlink="$M$23">
        <xdr:nvSpPr>
          <xdr:cNvPr id="8" name="Textfeld 7"/>
          <xdr:cNvSpPr txBox="1"/>
        </xdr:nvSpPr>
        <xdr:spPr>
          <a:xfrm>
            <a:off x="6506758" y="5314477"/>
            <a:ext cx="2144630" cy="231951"/>
          </a:xfrm>
          <a:prstGeom prst="rect">
            <a:avLst/>
          </a:prstGeom>
          <a:noFill/>
          <a:ln w="12700">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25C0F558-A1E5-4DE1-B7BA-121364314326}" type="TxLink">
              <a:rPr lang="en-US" sz="1000" b="0" i="0" u="none" strike="noStrike">
                <a:solidFill>
                  <a:schemeClr val="tx1">
                    <a:lumMod val="50000"/>
                    <a:lumOff val="50000"/>
                  </a:schemeClr>
                </a:solidFill>
                <a:effectLst/>
                <a:latin typeface="Trebuchet MS"/>
                <a:ea typeface="Verdana"/>
                <a:cs typeface="Verdana"/>
              </a:rPr>
              <a:pPr algn="ctr"/>
              <a:t> </a:t>
            </a:fld>
            <a:endParaRPr lang="de-AT">
              <a:solidFill>
                <a:schemeClr val="tx1">
                  <a:lumMod val="50000"/>
                  <a:lumOff val="50000"/>
                </a:schemeClr>
              </a:solidFill>
              <a:effectLst/>
              <a:latin typeface="Candara" panose="020E0502030303020204" pitchFamily="34" charset="0"/>
            </a:endParaRPr>
          </a:p>
        </xdr:txBody>
      </xdr:sp>
      <xdr:sp macro="" textlink="$M$24">
        <xdr:nvSpPr>
          <xdr:cNvPr id="9" name="Textfeld 8"/>
          <xdr:cNvSpPr txBox="1"/>
        </xdr:nvSpPr>
        <xdr:spPr>
          <a:xfrm>
            <a:off x="6499336" y="5491267"/>
            <a:ext cx="2153566" cy="231951"/>
          </a:xfrm>
          <a:prstGeom prst="rect">
            <a:avLst/>
          </a:prstGeom>
          <a:noFill/>
          <a:ln w="12700">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F771E19A-FA3C-46B5-999F-FC75A79A945D}" type="TxLink">
              <a:rPr lang="en-US" sz="1000" b="0" i="0" u="none" strike="noStrike">
                <a:solidFill>
                  <a:schemeClr val="tx1">
                    <a:lumMod val="50000"/>
                    <a:lumOff val="50000"/>
                  </a:schemeClr>
                </a:solidFill>
                <a:effectLst/>
                <a:latin typeface="Trebuchet MS"/>
                <a:ea typeface="Verdana"/>
                <a:cs typeface="Verdana"/>
              </a:rPr>
              <a:pPr algn="ctr"/>
              <a:t> </a:t>
            </a:fld>
            <a:endParaRPr lang="de-AT">
              <a:solidFill>
                <a:schemeClr val="tx1">
                  <a:lumMod val="50000"/>
                  <a:lumOff val="50000"/>
                </a:schemeClr>
              </a:solidFill>
              <a:effectLst/>
              <a:latin typeface="Candara" panose="020E0502030303020204" pitchFamily="34" charset="0"/>
            </a:endParaRPr>
          </a:p>
        </xdr:txBody>
      </xdr:sp>
    </xdr:grpSp>
    <xdr:clientData/>
  </xdr:twoCellAnchor>
  <mc:AlternateContent xmlns:mc="http://schemas.openxmlformats.org/markup-compatibility/2006">
    <mc:Choice xmlns:a14="http://schemas.microsoft.com/office/drawing/2010/main" Requires="a14">
      <xdr:twoCellAnchor editAs="oneCell">
        <xdr:from>
          <xdr:col>1</xdr:col>
          <xdr:colOff>180975</xdr:colOff>
          <xdr:row>22</xdr:row>
          <xdr:rowOff>47625</xdr:rowOff>
        </xdr:from>
        <xdr:to>
          <xdr:col>4</xdr:col>
          <xdr:colOff>47625</xdr:colOff>
          <xdr:row>24</xdr:row>
          <xdr:rowOff>0</xdr:rowOff>
        </xdr:to>
        <xdr:pic>
          <xdr:nvPicPr>
            <xdr:cNvPr id="11" name="Musterbeleg6"/>
            <xdr:cNvPicPr>
              <a:picLocks noChangeAspect="1"/>
              <a:extLst>
                <a:ext uri="{84589F7E-364E-4C9E-8A38-B11213B215E9}">
                  <a14:cameraTool cellRange="Musterbelegauswahl" spid="_x0000_s6677025"/>
                </a:ext>
              </a:extLst>
            </xdr:cNvPicPr>
          </xdr:nvPicPr>
          <xdr:blipFill rotWithShape="1">
            <a:blip xmlns:r="http://schemas.openxmlformats.org/officeDocument/2006/relationships" r:embed="rId3"/>
            <a:srcRect t="29033" b="33333"/>
            <a:stretch>
              <a:fillRect/>
            </a:stretch>
          </xdr:blipFill>
          <xdr:spPr>
            <a:xfrm>
              <a:off x="352425" y="4057650"/>
              <a:ext cx="1200150" cy="333375"/>
            </a:xfrm>
            <a:prstGeom prst="rect">
              <a:avLst/>
            </a:prstGeom>
          </xdr:spPr>
        </xdr:pic>
        <xdr:clientData/>
      </xdr:twoCellAnchor>
    </mc:Choice>
    <mc:Fallback/>
  </mc:AlternateContent>
  <xdr:twoCellAnchor>
    <xdr:from>
      <xdr:col>14</xdr:col>
      <xdr:colOff>160340</xdr:colOff>
      <xdr:row>3</xdr:row>
      <xdr:rowOff>66670</xdr:rowOff>
    </xdr:from>
    <xdr:to>
      <xdr:col>16</xdr:col>
      <xdr:colOff>232228</xdr:colOff>
      <xdr:row>5</xdr:row>
      <xdr:rowOff>120108</xdr:rowOff>
    </xdr:to>
    <xdr:sp macro="Copy_Beleg" textlink="">
      <xdr:nvSpPr>
        <xdr:cNvPr id="12" name="Belegkopie"/>
        <xdr:cNvSpPr/>
      </xdr:nvSpPr>
      <xdr:spPr>
        <a:xfrm>
          <a:off x="10677528" y="693733"/>
          <a:ext cx="2810325" cy="434438"/>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12</xdr:col>
          <xdr:colOff>2452294</xdr:colOff>
          <xdr:row>18</xdr:row>
          <xdr:rowOff>0</xdr:rowOff>
        </xdr:from>
        <xdr:to>
          <xdr:col>13</xdr:col>
          <xdr:colOff>0</xdr:colOff>
          <xdr:row>19</xdr:row>
          <xdr:rowOff>8126</xdr:rowOff>
        </xdr:to>
        <xdr:pic>
          <xdr:nvPicPr>
            <xdr:cNvPr id="10" name="Listensymbol">
              <a:hlinkClick xmlns:r="http://schemas.openxmlformats.org/officeDocument/2006/relationships" r:id="rId4"/>
            </xdr:cNvPr>
            <xdr:cNvPicPr>
              <a:picLocks noChangeAspect="1"/>
              <a:extLst>
                <a:ext uri="{84589F7E-364E-4C9E-8A38-B11213B215E9}">
                  <a14:cameraTool cellRange="Listensymbol" spid="_x0000_s6677026"/>
                </a:ext>
              </a:extLst>
            </xdr:cNvPicPr>
          </xdr:nvPicPr>
          <xdr:blipFill>
            <a:blip xmlns:r="http://schemas.openxmlformats.org/officeDocument/2006/relationships" r:embed="rId5"/>
            <a:stretch>
              <a:fillRect/>
            </a:stretch>
          </xdr:blipFill>
          <xdr:spPr>
            <a:xfrm>
              <a:off x="10329469" y="3362325"/>
              <a:ext cx="186131" cy="189101"/>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2452294</xdr:colOff>
          <xdr:row>15</xdr:row>
          <xdr:rowOff>172849</xdr:rowOff>
        </xdr:from>
        <xdr:to>
          <xdr:col>13</xdr:col>
          <xdr:colOff>0</xdr:colOff>
          <xdr:row>17</xdr:row>
          <xdr:rowOff>0</xdr:rowOff>
        </xdr:to>
        <xdr:pic>
          <xdr:nvPicPr>
            <xdr:cNvPr id="13" name="Listensymbol">
              <a:hlinkClick xmlns:r="http://schemas.openxmlformats.org/officeDocument/2006/relationships" r:id="rId6"/>
            </xdr:cNvPr>
            <xdr:cNvPicPr>
              <a:picLocks noChangeAspect="1"/>
              <a:extLst>
                <a:ext uri="{84589F7E-364E-4C9E-8A38-B11213B215E9}">
                  <a14:cameraTool cellRange="Listensymbol" spid="_x0000_s6677027"/>
                </a:ext>
              </a:extLst>
            </xdr:cNvPicPr>
          </xdr:nvPicPr>
          <xdr:blipFill>
            <a:blip xmlns:r="http://schemas.openxmlformats.org/officeDocument/2006/relationships" r:embed="rId5"/>
            <a:stretch>
              <a:fillRect/>
            </a:stretch>
          </xdr:blipFill>
          <xdr:spPr>
            <a:xfrm>
              <a:off x="10329469" y="2992249"/>
              <a:ext cx="186131" cy="189101"/>
            </a:xfrm>
            <a:prstGeom prst="rect">
              <a:avLst/>
            </a:prstGeom>
          </xdr:spPr>
        </xdr:pic>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12</xdr:col>
      <xdr:colOff>190500</xdr:colOff>
      <xdr:row>0</xdr:row>
      <xdr:rowOff>209550</xdr:rowOff>
    </xdr:from>
    <xdr:to>
      <xdr:col>14</xdr:col>
      <xdr:colOff>257625</xdr:colOff>
      <xdr:row>2</xdr:row>
      <xdr:rowOff>86775</xdr:rowOff>
    </xdr:to>
    <xdr:sp macro="" textlink="">
      <xdr:nvSpPr>
        <xdr:cNvPr id="3" name="Abgerundetes Rechteck 2">
          <a:hlinkClick xmlns:r="http://schemas.openxmlformats.org/officeDocument/2006/relationships" r:id="rId1"/>
        </xdr:cNvPr>
        <xdr:cNvSpPr/>
      </xdr:nvSpPr>
      <xdr:spPr>
        <a:xfrm>
          <a:off x="8667750" y="209550"/>
          <a:ext cx="2800800" cy="42015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xdr:twoCellAnchor editAs="oneCell">
    <xdr:from>
      <xdr:col>2</xdr:col>
      <xdr:colOff>19050</xdr:colOff>
      <xdr:row>2</xdr:row>
      <xdr:rowOff>3691</xdr:rowOff>
    </xdr:from>
    <xdr:to>
      <xdr:col>5</xdr:col>
      <xdr:colOff>314325</xdr:colOff>
      <xdr:row>4</xdr:row>
      <xdr:rowOff>50959</xdr:rowOff>
    </xdr:to>
    <xdr:pic>
      <xdr:nvPicPr>
        <xdr:cNvPr id="5" name="Grafik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3375" y="546616"/>
          <a:ext cx="3114675" cy="42826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76200</xdr:colOff>
          <xdr:row>28</xdr:row>
          <xdr:rowOff>28576</xdr:rowOff>
        </xdr:from>
        <xdr:to>
          <xdr:col>3</xdr:col>
          <xdr:colOff>209550</xdr:colOff>
          <xdr:row>29</xdr:row>
          <xdr:rowOff>161926</xdr:rowOff>
        </xdr:to>
        <xdr:pic>
          <xdr:nvPicPr>
            <xdr:cNvPr id="6" name="Musterbeleg6"/>
            <xdr:cNvPicPr>
              <a:picLocks noChangeAspect="1"/>
              <a:extLst>
                <a:ext uri="{84589F7E-364E-4C9E-8A38-B11213B215E9}">
                  <a14:cameraTool cellRange="Musterbelegauswahl" spid="_x0000_s7228584"/>
                </a:ext>
              </a:extLst>
            </xdr:cNvPicPr>
          </xdr:nvPicPr>
          <xdr:blipFill rotWithShape="1">
            <a:blip xmlns:r="http://schemas.openxmlformats.org/officeDocument/2006/relationships" r:embed="rId3"/>
            <a:srcRect t="27957" b="35484"/>
            <a:stretch>
              <a:fillRect/>
            </a:stretch>
          </xdr:blipFill>
          <xdr:spPr>
            <a:xfrm>
              <a:off x="276225" y="5676901"/>
              <a:ext cx="1200150" cy="323850"/>
            </a:xfrm>
            <a:prstGeom prst="rect">
              <a:avLst/>
            </a:prstGeom>
          </xdr:spPr>
        </xdr:pic>
        <xdr:clientData/>
      </xdr:twoCellAnchor>
    </mc:Choice>
    <mc:Fallback/>
  </mc:AlternateContent>
  <xdr:twoCellAnchor>
    <xdr:from>
      <xdr:col>12</xdr:col>
      <xdr:colOff>192090</xdr:colOff>
      <xdr:row>3</xdr:row>
      <xdr:rowOff>61910</xdr:rowOff>
    </xdr:from>
    <xdr:to>
      <xdr:col>14</xdr:col>
      <xdr:colOff>262390</xdr:colOff>
      <xdr:row>5</xdr:row>
      <xdr:rowOff>115348</xdr:rowOff>
    </xdr:to>
    <xdr:sp macro="Copy_Beleg" textlink="">
      <xdr:nvSpPr>
        <xdr:cNvPr id="8" name="Belegkopie"/>
        <xdr:cNvSpPr/>
      </xdr:nvSpPr>
      <xdr:spPr>
        <a:xfrm>
          <a:off x="8669340" y="795335"/>
          <a:ext cx="2803975" cy="434438"/>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11</xdr:col>
          <xdr:colOff>575869</xdr:colOff>
          <xdr:row>10</xdr:row>
          <xdr:rowOff>0</xdr:rowOff>
        </xdr:from>
        <xdr:to>
          <xdr:col>12</xdr:col>
          <xdr:colOff>0</xdr:colOff>
          <xdr:row>10</xdr:row>
          <xdr:rowOff>189101</xdr:rowOff>
        </xdr:to>
        <xdr:pic>
          <xdr:nvPicPr>
            <xdr:cNvPr id="9" name="Listensymbol">
              <a:hlinkClick xmlns:r="http://schemas.openxmlformats.org/officeDocument/2006/relationships" r:id="rId4"/>
            </xdr:cNvPr>
            <xdr:cNvPicPr>
              <a:picLocks noChangeAspect="1"/>
              <a:extLst>
                <a:ext uri="{84589F7E-364E-4C9E-8A38-B11213B215E9}">
                  <a14:cameraTool cellRange="Listensymbol" spid="_x0000_s7228585"/>
                </a:ext>
              </a:extLst>
            </xdr:cNvPicPr>
          </xdr:nvPicPr>
          <xdr:blipFill>
            <a:blip xmlns:r="http://schemas.openxmlformats.org/officeDocument/2006/relationships" r:embed="rId5"/>
            <a:stretch>
              <a:fillRect/>
            </a:stretch>
          </xdr:blipFill>
          <xdr:spPr>
            <a:xfrm>
              <a:off x="8291119" y="2066925"/>
              <a:ext cx="186131" cy="189101"/>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238125</xdr:colOff>
          <xdr:row>23</xdr:row>
          <xdr:rowOff>28575</xdr:rowOff>
        </xdr:from>
        <xdr:to>
          <xdr:col>4</xdr:col>
          <xdr:colOff>290400</xdr:colOff>
          <xdr:row>27</xdr:row>
          <xdr:rowOff>14175</xdr:rowOff>
        </xdr:to>
        <xdr:pic>
          <xdr:nvPicPr>
            <xdr:cNvPr id="10" name="Musterbeleg6"/>
            <xdr:cNvPicPr>
              <a:picLocks noChangeAspect="1"/>
              <a:extLst>
                <a:ext uri="{84589F7E-364E-4C9E-8A38-B11213B215E9}">
                  <a14:cameraTool cellRange="QRCodeMaut" spid="_x0000_s7228586"/>
                </a:ext>
              </a:extLst>
            </xdr:cNvPicPr>
          </xdr:nvPicPr>
          <xdr:blipFill rotWithShape="1">
            <a:blip xmlns:r="http://schemas.openxmlformats.org/officeDocument/2006/relationships" r:embed="rId6"/>
            <a:srcRect r="51403" b="49783"/>
            <a:stretch>
              <a:fillRect/>
            </a:stretch>
          </xdr:blipFill>
          <xdr:spPr>
            <a:xfrm>
              <a:off x="1504950" y="4572000"/>
              <a:ext cx="900000" cy="900000"/>
            </a:xfrm>
            <a:prstGeom prst="rect">
              <a:avLst/>
            </a:prstGeom>
          </xdr:spPr>
        </xdr:pic>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5</xdr:col>
      <xdr:colOff>572860</xdr:colOff>
      <xdr:row>11</xdr:row>
      <xdr:rowOff>6804</xdr:rowOff>
    </xdr:from>
    <xdr:to>
      <xdr:col>5</xdr:col>
      <xdr:colOff>572860</xdr:colOff>
      <xdr:row>24</xdr:row>
      <xdr:rowOff>203620</xdr:rowOff>
    </xdr:to>
    <xdr:cxnSp macro="">
      <xdr:nvCxnSpPr>
        <xdr:cNvPr id="11" name="Gerader Verbinder 10"/>
        <xdr:cNvCxnSpPr/>
      </xdr:nvCxnSpPr>
      <xdr:spPr bwMode="auto">
        <a:xfrm>
          <a:off x="3611335" y="2435679"/>
          <a:ext cx="0" cy="2920966"/>
        </a:xfrm>
        <a:prstGeom prst="line">
          <a:avLst/>
        </a:prstGeom>
        <a:solidFill>
          <a:srgbClr xmlns:mc="http://schemas.openxmlformats.org/markup-compatibility/2006" xmlns:a14="http://schemas.microsoft.com/office/drawing/2010/main" val="FFFFFF" mc:Ignorable="a14" a14:legacySpreadsheetColorIndex="9"/>
        </a:solidFill>
        <a:ln w="63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190500</xdr:colOff>
      <xdr:row>0</xdr:row>
      <xdr:rowOff>219075</xdr:rowOff>
    </xdr:from>
    <xdr:to>
      <xdr:col>15</xdr:col>
      <xdr:colOff>256116</xdr:colOff>
      <xdr:row>2</xdr:row>
      <xdr:rowOff>105825</xdr:rowOff>
    </xdr:to>
    <xdr:sp macro="" textlink="">
      <xdr:nvSpPr>
        <xdr:cNvPr id="3" name="Abgerundetes Rechteck 2">
          <a:hlinkClick xmlns:r="http://schemas.openxmlformats.org/officeDocument/2006/relationships" r:id="rId1"/>
        </xdr:cNvPr>
        <xdr:cNvSpPr/>
      </xdr:nvSpPr>
      <xdr:spPr>
        <a:xfrm>
          <a:off x="9220200" y="219075"/>
          <a:ext cx="2799291" cy="429675"/>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xdr:twoCellAnchor>
    <xdr:from>
      <xdr:col>2</xdr:col>
      <xdr:colOff>2721</xdr:colOff>
      <xdr:row>9</xdr:row>
      <xdr:rowOff>170090</xdr:rowOff>
    </xdr:from>
    <xdr:to>
      <xdr:col>5</xdr:col>
      <xdr:colOff>768803</xdr:colOff>
      <xdr:row>9</xdr:row>
      <xdr:rowOff>170090</xdr:rowOff>
    </xdr:to>
    <xdr:cxnSp macro="">
      <xdr:nvCxnSpPr>
        <xdr:cNvPr id="7" name="Gerader Verbinder 6"/>
        <xdr:cNvCxnSpPr/>
      </xdr:nvCxnSpPr>
      <xdr:spPr bwMode="auto">
        <a:xfrm flipV="1">
          <a:off x="363310" y="2190751"/>
          <a:ext cx="3297011" cy="0"/>
        </a:xfrm>
        <a:prstGeom prst="line">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absolute">
    <xdr:from>
      <xdr:col>3</xdr:col>
      <xdr:colOff>113330</xdr:colOff>
      <xdr:row>23</xdr:row>
      <xdr:rowOff>172229</xdr:rowOff>
    </xdr:from>
    <xdr:to>
      <xdr:col>3</xdr:col>
      <xdr:colOff>466725</xdr:colOff>
      <xdr:row>25</xdr:row>
      <xdr:rowOff>58706</xdr:rowOff>
    </xdr:to>
    <xdr:sp macro="" textlink="">
      <xdr:nvSpPr>
        <xdr:cNvPr id="8" name="Textfeld 7"/>
        <xdr:cNvSpPr txBox="1"/>
      </xdr:nvSpPr>
      <xdr:spPr>
        <a:xfrm>
          <a:off x="789605" y="5115704"/>
          <a:ext cx="353395" cy="3055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AT" sz="1200">
              <a:solidFill>
                <a:srgbClr val="787FBD"/>
              </a:solidFill>
              <a:latin typeface="Brush Script MT" panose="03060802040406070304" pitchFamily="66" charset="0"/>
            </a:rPr>
            <a:t>20</a:t>
          </a:r>
        </a:p>
      </xdr:txBody>
    </xdr:sp>
    <xdr:clientData/>
  </xdr:twoCellAnchor>
  <xdr:twoCellAnchor>
    <xdr:from>
      <xdr:col>2</xdr:col>
      <xdr:colOff>266700</xdr:colOff>
      <xdr:row>10</xdr:row>
      <xdr:rowOff>9525</xdr:rowOff>
    </xdr:from>
    <xdr:to>
      <xdr:col>3</xdr:col>
      <xdr:colOff>714374</xdr:colOff>
      <xdr:row>11</xdr:row>
      <xdr:rowOff>66675</xdr:rowOff>
    </xdr:to>
    <xdr:sp macro="" textlink="intern_Datenblatt!A20">
      <xdr:nvSpPr>
        <xdr:cNvPr id="13" name="Textfeld 12"/>
        <xdr:cNvSpPr txBox="1"/>
      </xdr:nvSpPr>
      <xdr:spPr>
        <a:xfrm>
          <a:off x="628650" y="2228850"/>
          <a:ext cx="761999"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E6EF9D2-D504-4AE2-BE19-AF8E90561244}" type="TxLink">
            <a:rPr lang="en-US" sz="800" b="0" i="0" u="none" strike="noStrike">
              <a:solidFill>
                <a:srgbClr val="000000"/>
              </a:solidFill>
              <a:latin typeface="Arial" panose="020B0604020202020204" pitchFamily="34" charset="0"/>
              <a:ea typeface="Verdana"/>
              <a:cs typeface="Arial" panose="020B0604020202020204" pitchFamily="34" charset="0"/>
            </a:rPr>
            <a:pPr/>
            <a:t>Datum</a:t>
          </a:fld>
          <a:endParaRPr lang="de-AT" sz="800">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3</xdr:col>
      <xdr:colOff>824280</xdr:colOff>
      <xdr:row>21</xdr:row>
      <xdr:rowOff>176579</xdr:rowOff>
    </xdr:from>
    <xdr:to>
      <xdr:col>3</xdr:col>
      <xdr:colOff>1643430</xdr:colOff>
      <xdr:row>23</xdr:row>
      <xdr:rowOff>52754</xdr:rowOff>
    </xdr:to>
    <xdr:sp macro="" textlink="$J$26">
      <xdr:nvSpPr>
        <xdr:cNvPr id="4" name="Textfeld 3"/>
        <xdr:cNvSpPr txBox="1"/>
      </xdr:nvSpPr>
      <xdr:spPr>
        <a:xfrm>
          <a:off x="1505684" y="4755906"/>
          <a:ext cx="819150" cy="3011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fld id="{43DE439C-0D1C-4D8B-9A09-2B7EB429F270}" type="TxLink">
            <a:rPr lang="en-US" sz="1300" b="0" i="0" u="none" strike="noStrike">
              <a:solidFill>
                <a:srgbClr val="787FBD"/>
              </a:solidFill>
              <a:latin typeface="Brush Script MT" panose="03060802040406070304" pitchFamily="66" charset="0"/>
              <a:cs typeface="Arial"/>
            </a:rPr>
            <a:pPr algn="r"/>
            <a:t> </a:t>
          </a:fld>
          <a:endParaRPr lang="de-AT" sz="1300">
            <a:solidFill>
              <a:srgbClr val="787FBD"/>
            </a:solidFill>
            <a:latin typeface="Brush Script MT" panose="03060802040406070304" pitchFamily="66" charset="0"/>
          </a:endParaRPr>
        </a:p>
      </xdr:txBody>
    </xdr:sp>
    <xdr:clientData/>
  </xdr:twoCellAnchor>
  <xdr:twoCellAnchor>
    <xdr:from>
      <xdr:col>3</xdr:col>
      <xdr:colOff>824280</xdr:colOff>
      <xdr:row>22</xdr:row>
      <xdr:rowOff>176579</xdr:rowOff>
    </xdr:from>
    <xdr:to>
      <xdr:col>3</xdr:col>
      <xdr:colOff>1643430</xdr:colOff>
      <xdr:row>24</xdr:row>
      <xdr:rowOff>52754</xdr:rowOff>
    </xdr:to>
    <xdr:sp macro="" textlink="$J$27">
      <xdr:nvSpPr>
        <xdr:cNvPr id="10" name="Textfeld 9"/>
        <xdr:cNvSpPr txBox="1"/>
      </xdr:nvSpPr>
      <xdr:spPr>
        <a:xfrm>
          <a:off x="1494918" y="4783569"/>
          <a:ext cx="819150" cy="3038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fld id="{40B8D86C-17F9-42A6-88A5-D5BC20AB0B17}" type="TxLink">
            <a:rPr lang="en-US" sz="1300" b="0" i="0" u="none" strike="noStrike">
              <a:solidFill>
                <a:srgbClr val="787FBD"/>
              </a:solidFill>
              <a:latin typeface="Brush Script MT" panose="03060802040406070304" pitchFamily="66" charset="0"/>
              <a:cs typeface="Arial"/>
            </a:rPr>
            <a:pPr algn="r"/>
            <a:t> </a:t>
          </a:fld>
          <a:endParaRPr lang="de-AT" sz="1300">
            <a:solidFill>
              <a:srgbClr val="787FBD"/>
            </a:solidFill>
            <a:latin typeface="Brush Script MT" panose="03060802040406070304" pitchFamily="66" charset="0"/>
          </a:endParaRPr>
        </a:p>
      </xdr:txBody>
    </xdr:sp>
    <xdr:clientData/>
  </xdr:twoCellAnchor>
  <xdr:twoCellAnchor>
    <xdr:from>
      <xdr:col>13</xdr:col>
      <xdr:colOff>196853</xdr:colOff>
      <xdr:row>3</xdr:row>
      <xdr:rowOff>117473</xdr:rowOff>
    </xdr:from>
    <xdr:to>
      <xdr:col>15</xdr:col>
      <xdr:colOff>268740</xdr:colOff>
      <xdr:row>5</xdr:row>
      <xdr:rowOff>132811</xdr:rowOff>
    </xdr:to>
    <xdr:sp macro="Copy_Beleg" textlink="">
      <xdr:nvSpPr>
        <xdr:cNvPr id="14" name="Belegkopie"/>
        <xdr:cNvSpPr/>
      </xdr:nvSpPr>
      <xdr:spPr>
        <a:xfrm>
          <a:off x="8597903" y="869948"/>
          <a:ext cx="2805562" cy="434438"/>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1</xdr:col>
          <xdr:colOff>85725</xdr:colOff>
          <xdr:row>26</xdr:row>
          <xdr:rowOff>219075</xdr:rowOff>
        </xdr:from>
        <xdr:to>
          <xdr:col>3</xdr:col>
          <xdr:colOff>857250</xdr:colOff>
          <xdr:row>28</xdr:row>
          <xdr:rowOff>171450</xdr:rowOff>
        </xdr:to>
        <xdr:pic>
          <xdr:nvPicPr>
            <xdr:cNvPr id="15" name="Musterbeleg6"/>
            <xdr:cNvPicPr>
              <a:picLocks noChangeAspect="1"/>
              <a:extLst>
                <a:ext uri="{84589F7E-364E-4C9E-8A38-B11213B215E9}">
                  <a14:cameraTool cellRange="Musterbelegauswahl" spid="_x0000_s376725"/>
                </a:ext>
              </a:extLst>
            </xdr:cNvPicPr>
          </xdr:nvPicPr>
          <xdr:blipFill rotWithShape="1">
            <a:blip xmlns:r="http://schemas.openxmlformats.org/officeDocument/2006/relationships" r:embed="rId2"/>
            <a:srcRect t="23655" b="32259"/>
            <a:stretch>
              <a:fillRect/>
            </a:stretch>
          </xdr:blipFill>
          <xdr:spPr>
            <a:xfrm>
              <a:off x="333375" y="5791200"/>
              <a:ext cx="1200150" cy="390525"/>
            </a:xfrm>
            <a:prstGeom prst="rect">
              <a:avLst/>
            </a:prstGeom>
          </xdr:spPr>
        </xdr:pic>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12</xdr:col>
      <xdr:colOff>9525</xdr:colOff>
      <xdr:row>1</xdr:row>
      <xdr:rowOff>9524</xdr:rowOff>
    </xdr:from>
    <xdr:to>
      <xdr:col>12</xdr:col>
      <xdr:colOff>2846325</xdr:colOff>
      <xdr:row>2</xdr:row>
      <xdr:rowOff>1049</xdr:rowOff>
    </xdr:to>
    <xdr:sp macro="" textlink="">
      <xdr:nvSpPr>
        <xdr:cNvPr id="4" name="Abgerundetes Rechteck 3">
          <a:hlinkClick xmlns:r="http://schemas.openxmlformats.org/officeDocument/2006/relationships" r:id="rId1"/>
        </xdr:cNvPr>
        <xdr:cNvSpPr/>
      </xdr:nvSpPr>
      <xdr:spPr>
        <a:xfrm>
          <a:off x="8810625" y="390524"/>
          <a:ext cx="2836800" cy="410625"/>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oneCellAnchor>
        <xdr:from>
          <xdr:col>1</xdr:col>
          <xdr:colOff>200024</xdr:colOff>
          <xdr:row>4</xdr:row>
          <xdr:rowOff>104774</xdr:rowOff>
        </xdr:from>
        <xdr:ext cx="1073595" cy="1055685"/>
        <xdr:pic>
          <xdr:nvPicPr>
            <xdr:cNvPr id="16" name="Image9"/>
            <xdr:cNvPicPr preferRelativeResize="0">
              <a:picLocks noChangeArrowheads="1" noChangeShapeType="1"/>
              <a:extLst>
                <a:ext uri="{84589F7E-364E-4C9E-8A38-B11213B215E9}">
                  <a14:cameraTool cellRange="Logoauswahl01" spid="_x0000_s7492477"/>
                </a:ext>
              </a:extLst>
            </xdr:cNvPicPr>
          </xdr:nvPicPr>
          <xdr:blipFill rotWithShape="1">
            <a:blip xmlns:r="http://schemas.openxmlformats.org/officeDocument/2006/relationships" r:embed="rId2"/>
            <a:srcRect l="26273" t="20264"/>
            <a:stretch>
              <a:fillRect/>
            </a:stretch>
          </xdr:blipFill>
          <xdr:spPr bwMode="auto">
            <a:xfrm>
              <a:off x="800099" y="1695449"/>
              <a:ext cx="1073595" cy="1055685"/>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3</xdr:col>
          <xdr:colOff>247650</xdr:colOff>
          <xdr:row>5</xdr:row>
          <xdr:rowOff>9524</xdr:rowOff>
        </xdr:from>
        <xdr:ext cx="1031204" cy="973365"/>
        <xdr:pic>
          <xdr:nvPicPr>
            <xdr:cNvPr id="6" name="Image9"/>
            <xdr:cNvPicPr preferRelativeResize="0">
              <a:picLocks noChangeArrowheads="1" noChangeShapeType="1"/>
              <a:extLst>
                <a:ext uri="{84589F7E-364E-4C9E-8A38-B11213B215E9}">
                  <a14:cameraTool cellRange="Logoauswahl02" spid="_x0000_s7492478"/>
                </a:ext>
              </a:extLst>
            </xdr:cNvPicPr>
          </xdr:nvPicPr>
          <xdr:blipFill rotWithShape="1">
            <a:blip xmlns:r="http://schemas.openxmlformats.org/officeDocument/2006/relationships" r:embed="rId3"/>
            <a:srcRect l="23283" t="18896"/>
            <a:stretch>
              <a:fillRect/>
            </a:stretch>
          </xdr:blipFill>
          <xdr:spPr bwMode="auto">
            <a:xfrm>
              <a:off x="2371725" y="1762124"/>
              <a:ext cx="1031204" cy="973365"/>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5</xdr:col>
          <xdr:colOff>266699</xdr:colOff>
          <xdr:row>5</xdr:row>
          <xdr:rowOff>76200</xdr:rowOff>
        </xdr:from>
        <xdr:ext cx="999001" cy="916216"/>
        <xdr:pic>
          <xdr:nvPicPr>
            <xdr:cNvPr id="8" name="Image9"/>
            <xdr:cNvPicPr preferRelativeResize="0">
              <a:picLocks noChangeArrowheads="1" noChangeShapeType="1"/>
              <a:extLst>
                <a:ext uri="{84589F7E-364E-4C9E-8A38-B11213B215E9}">
                  <a14:cameraTool cellRange="Logoauswahl03" spid="_x0000_s7492479"/>
                </a:ext>
              </a:extLst>
            </xdr:cNvPicPr>
          </xdr:nvPicPr>
          <xdr:blipFill rotWithShape="1">
            <a:blip xmlns:r="http://schemas.openxmlformats.org/officeDocument/2006/relationships" r:embed="rId4"/>
            <a:srcRect l="25679" t="23658"/>
            <a:stretch>
              <a:fillRect/>
            </a:stretch>
          </xdr:blipFill>
          <xdr:spPr bwMode="auto">
            <a:xfrm>
              <a:off x="3914774" y="1828800"/>
              <a:ext cx="999001" cy="916216"/>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7</xdr:col>
          <xdr:colOff>238125</xdr:colOff>
          <xdr:row>5</xdr:row>
          <xdr:rowOff>0</xdr:rowOff>
        </xdr:from>
        <xdr:ext cx="1051596" cy="1001939"/>
        <xdr:pic>
          <xdr:nvPicPr>
            <xdr:cNvPr id="10" name="Image9"/>
            <xdr:cNvPicPr preferRelativeResize="0">
              <a:picLocks noChangeArrowheads="1" noChangeShapeType="1"/>
              <a:extLst>
                <a:ext uri="{84589F7E-364E-4C9E-8A38-B11213B215E9}">
                  <a14:cameraTool cellRange="Logoauswahl04" spid="_x0000_s7492480"/>
                </a:ext>
              </a:extLst>
            </xdr:cNvPicPr>
          </xdr:nvPicPr>
          <xdr:blipFill rotWithShape="1">
            <a:blip xmlns:r="http://schemas.openxmlformats.org/officeDocument/2006/relationships" r:embed="rId5"/>
            <a:srcRect l="27784" t="24324"/>
            <a:stretch>
              <a:fillRect/>
            </a:stretch>
          </xdr:blipFill>
          <xdr:spPr bwMode="auto">
            <a:xfrm>
              <a:off x="5410200" y="1752600"/>
              <a:ext cx="1051596" cy="1001939"/>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9</xdr:col>
          <xdr:colOff>276224</xdr:colOff>
          <xdr:row>5</xdr:row>
          <xdr:rowOff>38100</xdr:rowOff>
        </xdr:from>
        <xdr:ext cx="1017353" cy="928688"/>
        <xdr:pic>
          <xdr:nvPicPr>
            <xdr:cNvPr id="12" name="Image9"/>
            <xdr:cNvPicPr preferRelativeResize="0">
              <a:picLocks noChangeArrowheads="1" noChangeShapeType="1"/>
              <a:extLst>
                <a:ext uri="{84589F7E-364E-4C9E-8A38-B11213B215E9}">
                  <a14:cameraTool cellRange="Logoauswahl05" spid="_x0000_s7492481"/>
                </a:ext>
              </a:extLst>
            </xdr:cNvPicPr>
          </xdr:nvPicPr>
          <xdr:blipFill rotWithShape="1">
            <a:blip xmlns:r="http://schemas.openxmlformats.org/officeDocument/2006/relationships" r:embed="rId6"/>
            <a:srcRect l="30135" t="29856"/>
            <a:stretch>
              <a:fillRect/>
            </a:stretch>
          </xdr:blipFill>
          <xdr:spPr bwMode="auto">
            <a:xfrm>
              <a:off x="6972299" y="1790700"/>
              <a:ext cx="1017353" cy="928688"/>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xdr:col>
          <xdr:colOff>238125</xdr:colOff>
          <xdr:row>13</xdr:row>
          <xdr:rowOff>104775</xdr:rowOff>
        </xdr:from>
        <xdr:ext cx="1040710" cy="1056369"/>
        <xdr:pic>
          <xdr:nvPicPr>
            <xdr:cNvPr id="14" name="Image9"/>
            <xdr:cNvPicPr preferRelativeResize="0">
              <a:picLocks noChangeArrowheads="1" noChangeShapeType="1"/>
              <a:extLst>
                <a:ext uri="{84589F7E-364E-4C9E-8A38-B11213B215E9}">
                  <a14:cameraTool cellRange="Logoauswahl06" spid="_x0000_s7492482"/>
                </a:ext>
              </a:extLst>
            </xdr:cNvPicPr>
          </xdr:nvPicPr>
          <xdr:blipFill rotWithShape="1">
            <a:blip xmlns:r="http://schemas.openxmlformats.org/officeDocument/2006/relationships" r:embed="rId7"/>
            <a:srcRect l="28532" t="20212"/>
            <a:stretch>
              <a:fillRect/>
            </a:stretch>
          </xdr:blipFill>
          <xdr:spPr bwMode="auto">
            <a:xfrm>
              <a:off x="838200" y="3438525"/>
              <a:ext cx="1040710" cy="1056369"/>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3</xdr:col>
          <xdr:colOff>247650</xdr:colOff>
          <xdr:row>13</xdr:row>
          <xdr:rowOff>152400</xdr:rowOff>
        </xdr:from>
        <xdr:ext cx="1059534" cy="1012370"/>
        <xdr:pic>
          <xdr:nvPicPr>
            <xdr:cNvPr id="17" name="Image9"/>
            <xdr:cNvPicPr preferRelativeResize="0">
              <a:picLocks noChangeArrowheads="1" noChangeShapeType="1"/>
              <a:extLst>
                <a:ext uri="{84589F7E-364E-4C9E-8A38-B11213B215E9}">
                  <a14:cameraTool cellRange="Logoauswahl07" spid="_x0000_s7492483"/>
                </a:ext>
              </a:extLst>
            </xdr:cNvPicPr>
          </xdr:nvPicPr>
          <xdr:blipFill rotWithShape="1">
            <a:blip xmlns:r="http://schemas.openxmlformats.org/officeDocument/2006/relationships" r:embed="rId8"/>
            <a:srcRect l="27239" t="23536"/>
            <a:stretch>
              <a:fillRect/>
            </a:stretch>
          </xdr:blipFill>
          <xdr:spPr bwMode="auto">
            <a:xfrm>
              <a:off x="2371725" y="3486150"/>
              <a:ext cx="1059534" cy="1012370"/>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5</xdr:col>
          <xdr:colOff>219075</xdr:colOff>
          <xdr:row>14</xdr:row>
          <xdr:rowOff>0</xdr:rowOff>
        </xdr:from>
        <xdr:ext cx="1078132" cy="1001486"/>
        <xdr:pic>
          <xdr:nvPicPr>
            <xdr:cNvPr id="18" name="Image9"/>
            <xdr:cNvPicPr preferRelativeResize="0">
              <a:picLocks noChangeArrowheads="1" noChangeShapeType="1"/>
              <a:extLst>
                <a:ext uri="{84589F7E-364E-4C9E-8A38-B11213B215E9}">
                  <a14:cameraTool cellRange="Logoauswahl08" spid="_x0000_s7492484"/>
                </a:ext>
              </a:extLst>
            </xdr:cNvPicPr>
          </xdr:nvPicPr>
          <xdr:blipFill rotWithShape="1">
            <a:blip xmlns:r="http://schemas.openxmlformats.org/officeDocument/2006/relationships" r:embed="rId9"/>
            <a:srcRect l="25962" t="24358"/>
            <a:stretch>
              <a:fillRect/>
            </a:stretch>
          </xdr:blipFill>
          <xdr:spPr bwMode="auto">
            <a:xfrm>
              <a:off x="3867150" y="3495675"/>
              <a:ext cx="1078132" cy="1001486"/>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7</xdr:col>
          <xdr:colOff>257175</xdr:colOff>
          <xdr:row>13</xdr:row>
          <xdr:rowOff>142875</xdr:rowOff>
        </xdr:from>
        <xdr:ext cx="1024836" cy="1019629"/>
        <xdr:pic>
          <xdr:nvPicPr>
            <xdr:cNvPr id="20" name="Image9"/>
            <xdr:cNvPicPr preferRelativeResize="0">
              <a:picLocks noChangeArrowheads="1" noChangeShapeType="1"/>
              <a:extLst>
                <a:ext uri="{84589F7E-364E-4C9E-8A38-B11213B215E9}">
                  <a14:cameraTool cellRange="Logoauswahl09" spid="_x0000_s7492485"/>
                </a:ext>
              </a:extLst>
            </xdr:cNvPicPr>
          </xdr:nvPicPr>
          <xdr:blipFill rotWithShape="1">
            <a:blip xmlns:r="http://schemas.openxmlformats.org/officeDocument/2006/relationships" r:embed="rId10"/>
            <a:srcRect l="29622" t="22987"/>
            <a:stretch>
              <a:fillRect/>
            </a:stretch>
          </xdr:blipFill>
          <xdr:spPr bwMode="auto">
            <a:xfrm>
              <a:off x="5429250" y="3476625"/>
              <a:ext cx="1024836" cy="1019629"/>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9</xdr:col>
          <xdr:colOff>238125</xdr:colOff>
          <xdr:row>13</xdr:row>
          <xdr:rowOff>123825</xdr:rowOff>
        </xdr:from>
        <xdr:ext cx="1057038" cy="1002845"/>
        <xdr:pic>
          <xdr:nvPicPr>
            <xdr:cNvPr id="22" name="Image9"/>
            <xdr:cNvPicPr preferRelativeResize="0">
              <a:picLocks noChangeArrowheads="1" noChangeShapeType="1"/>
              <a:extLst>
                <a:ext uri="{84589F7E-364E-4C9E-8A38-B11213B215E9}">
                  <a14:cameraTool cellRange="Logoauswahl10" spid="_x0000_s7492486"/>
                </a:ext>
              </a:extLst>
            </xdr:cNvPicPr>
          </xdr:nvPicPr>
          <xdr:blipFill rotWithShape="1">
            <a:blip xmlns:r="http://schemas.openxmlformats.org/officeDocument/2006/relationships" r:embed="rId11"/>
            <a:srcRect l="27410" t="24255"/>
            <a:stretch>
              <a:fillRect/>
            </a:stretch>
          </xdr:blipFill>
          <xdr:spPr bwMode="auto">
            <a:xfrm>
              <a:off x="6934200" y="3457575"/>
              <a:ext cx="1057038" cy="1002845"/>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xdr:col>
          <xdr:colOff>247650</xdr:colOff>
          <xdr:row>24</xdr:row>
          <xdr:rowOff>133350</xdr:rowOff>
        </xdr:from>
        <xdr:ext cx="1031866" cy="959531"/>
        <xdr:pic>
          <xdr:nvPicPr>
            <xdr:cNvPr id="28" name="Image9"/>
            <xdr:cNvPicPr preferRelativeResize="0">
              <a:picLocks noChangeArrowheads="1" noChangeShapeType="1"/>
              <a:extLst>
                <a:ext uri="{84589F7E-364E-4C9E-8A38-B11213B215E9}">
                  <a14:cameraTool cellRange="Logoauswahl11" spid="_x0000_s7492487"/>
                </a:ext>
              </a:extLst>
            </xdr:cNvPicPr>
          </xdr:nvPicPr>
          <xdr:blipFill rotWithShape="1">
            <a:blip xmlns:r="http://schemas.openxmlformats.org/officeDocument/2006/relationships" r:embed="rId12"/>
            <a:srcRect l="29139" t="27527"/>
            <a:stretch>
              <a:fillRect/>
            </a:stretch>
          </xdr:blipFill>
          <xdr:spPr bwMode="auto">
            <a:xfrm>
              <a:off x="847725" y="5534025"/>
              <a:ext cx="1031866" cy="959531"/>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3</xdr:col>
          <xdr:colOff>295275</xdr:colOff>
          <xdr:row>24</xdr:row>
          <xdr:rowOff>142875</xdr:rowOff>
        </xdr:from>
        <xdr:ext cx="1065884" cy="965880"/>
        <xdr:pic>
          <xdr:nvPicPr>
            <xdr:cNvPr id="29" name="Image9"/>
            <xdr:cNvPicPr preferRelativeResize="0">
              <a:picLocks noChangeArrowheads="1" noChangeShapeType="1"/>
              <a:extLst>
                <a:ext uri="{84589F7E-364E-4C9E-8A38-B11213B215E9}">
                  <a14:cameraTool cellRange="Logoauswahl12" spid="_x0000_s7492488"/>
                </a:ext>
              </a:extLst>
            </xdr:cNvPicPr>
          </xdr:nvPicPr>
          <xdr:blipFill rotWithShape="1">
            <a:blip xmlns:r="http://schemas.openxmlformats.org/officeDocument/2006/relationships" r:embed="rId13"/>
            <a:srcRect l="26803" t="27047"/>
            <a:stretch>
              <a:fillRect/>
            </a:stretch>
          </xdr:blipFill>
          <xdr:spPr bwMode="auto">
            <a:xfrm>
              <a:off x="2419350" y="5543550"/>
              <a:ext cx="1065884" cy="965880"/>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5</xdr:col>
          <xdr:colOff>238124</xdr:colOff>
          <xdr:row>24</xdr:row>
          <xdr:rowOff>95250</xdr:rowOff>
        </xdr:from>
        <xdr:ext cx="1041391" cy="1012599"/>
        <xdr:pic>
          <xdr:nvPicPr>
            <xdr:cNvPr id="30" name="Image9"/>
            <xdr:cNvPicPr preferRelativeResize="0">
              <a:picLocks noChangeArrowheads="1" noChangeShapeType="1"/>
              <a:extLst>
                <a:ext uri="{84589F7E-364E-4C9E-8A38-B11213B215E9}">
                  <a14:cameraTool cellRange="Logoauswahl13" spid="_x0000_s7492489"/>
                </a:ext>
              </a:extLst>
            </xdr:cNvPicPr>
          </xdr:nvPicPr>
          <xdr:blipFill rotWithShape="1">
            <a:blip xmlns:r="http://schemas.openxmlformats.org/officeDocument/2006/relationships" r:embed="rId14"/>
            <a:srcRect l="28485" t="23518"/>
            <a:stretch>
              <a:fillRect/>
            </a:stretch>
          </xdr:blipFill>
          <xdr:spPr bwMode="auto">
            <a:xfrm>
              <a:off x="3886199" y="5495925"/>
              <a:ext cx="1041391" cy="1012599"/>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7</xdr:col>
          <xdr:colOff>238125</xdr:colOff>
          <xdr:row>24</xdr:row>
          <xdr:rowOff>95250</xdr:rowOff>
        </xdr:from>
        <xdr:ext cx="1047968" cy="1038453"/>
        <xdr:pic>
          <xdr:nvPicPr>
            <xdr:cNvPr id="31" name="Image9"/>
            <xdr:cNvPicPr preferRelativeResize="0">
              <a:picLocks noChangeArrowheads="1" noChangeShapeType="1"/>
              <a:extLst>
                <a:ext uri="{84589F7E-364E-4C9E-8A38-B11213B215E9}">
                  <a14:cameraTool cellRange="Logoauswahl14" spid="_x0000_s7492490"/>
                </a:ext>
              </a:extLst>
            </xdr:cNvPicPr>
          </xdr:nvPicPr>
          <xdr:blipFill rotWithShape="1">
            <a:blip xmlns:r="http://schemas.openxmlformats.org/officeDocument/2006/relationships" r:embed="rId15"/>
            <a:srcRect l="28033" t="21566"/>
            <a:stretch>
              <a:fillRect/>
            </a:stretch>
          </xdr:blipFill>
          <xdr:spPr bwMode="auto">
            <a:xfrm>
              <a:off x="5410200" y="5495925"/>
              <a:ext cx="1047968" cy="1038453"/>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9</xdr:col>
          <xdr:colOff>238124</xdr:colOff>
          <xdr:row>24</xdr:row>
          <xdr:rowOff>47625</xdr:rowOff>
        </xdr:from>
        <xdr:ext cx="1050009" cy="1090160"/>
        <xdr:pic>
          <xdr:nvPicPr>
            <xdr:cNvPr id="32" name="Image9"/>
            <xdr:cNvPicPr preferRelativeResize="0">
              <a:picLocks noChangeArrowheads="1" noChangeShapeType="1"/>
              <a:extLst>
                <a:ext uri="{84589F7E-364E-4C9E-8A38-B11213B215E9}">
                  <a14:cameraTool cellRange="Logoauswahl15" spid="_x0000_s7492491"/>
                </a:ext>
              </a:extLst>
            </xdr:cNvPicPr>
          </xdr:nvPicPr>
          <xdr:blipFill rotWithShape="1">
            <a:blip xmlns:r="http://schemas.openxmlformats.org/officeDocument/2006/relationships" r:embed="rId16"/>
            <a:srcRect l="27893" t="17660"/>
            <a:stretch>
              <a:fillRect/>
            </a:stretch>
          </xdr:blipFill>
          <xdr:spPr bwMode="auto">
            <a:xfrm>
              <a:off x="6934199" y="5448300"/>
              <a:ext cx="1050009" cy="1090160"/>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xdr:col>
          <xdr:colOff>257175</xdr:colOff>
          <xdr:row>33</xdr:row>
          <xdr:rowOff>152400</xdr:rowOff>
        </xdr:from>
        <xdr:ext cx="1028464" cy="1023484"/>
        <xdr:pic>
          <xdr:nvPicPr>
            <xdr:cNvPr id="33" name="Image9"/>
            <xdr:cNvPicPr preferRelativeResize="0">
              <a:picLocks noChangeArrowheads="1" noChangeShapeType="1"/>
              <a:extLst>
                <a:ext uri="{84589F7E-364E-4C9E-8A38-B11213B215E9}">
                  <a14:cameraTool cellRange="Logoauswahl16" spid="_x0000_s7492492"/>
                </a:ext>
              </a:extLst>
            </xdr:cNvPicPr>
          </xdr:nvPicPr>
          <xdr:blipFill rotWithShape="1">
            <a:blip xmlns:r="http://schemas.openxmlformats.org/officeDocument/2006/relationships" r:embed="rId17"/>
            <a:srcRect l="29373" t="22696"/>
            <a:stretch>
              <a:fillRect/>
            </a:stretch>
          </xdr:blipFill>
          <xdr:spPr bwMode="auto">
            <a:xfrm>
              <a:off x="857250" y="7353300"/>
              <a:ext cx="1028464" cy="1023484"/>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3</xdr:col>
          <xdr:colOff>238125</xdr:colOff>
          <xdr:row>33</xdr:row>
          <xdr:rowOff>133350</xdr:rowOff>
        </xdr:from>
        <xdr:ext cx="1055678" cy="1016682"/>
        <xdr:pic>
          <xdr:nvPicPr>
            <xdr:cNvPr id="34" name="Image9"/>
            <xdr:cNvPicPr preferRelativeResize="0">
              <a:picLocks noChangeArrowheads="1" noChangeShapeType="1"/>
              <a:extLst>
                <a:ext uri="{84589F7E-364E-4C9E-8A38-B11213B215E9}">
                  <a14:cameraTool cellRange="Logoauswahl17" spid="_x0000_s7492493"/>
                </a:ext>
              </a:extLst>
            </xdr:cNvPicPr>
          </xdr:nvPicPr>
          <xdr:blipFill rotWithShape="1">
            <a:blip xmlns:r="http://schemas.openxmlformats.org/officeDocument/2006/relationships" r:embed="rId18"/>
            <a:srcRect l="27504" t="23210"/>
            <a:stretch>
              <a:fillRect/>
            </a:stretch>
          </xdr:blipFill>
          <xdr:spPr bwMode="auto">
            <a:xfrm>
              <a:off x="2362200" y="7334250"/>
              <a:ext cx="1055678" cy="1016682"/>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5</xdr:col>
          <xdr:colOff>247650</xdr:colOff>
          <xdr:row>33</xdr:row>
          <xdr:rowOff>114300</xdr:rowOff>
        </xdr:from>
        <xdr:ext cx="1033000" cy="1046844"/>
        <xdr:pic>
          <xdr:nvPicPr>
            <xdr:cNvPr id="35" name="Image9"/>
            <xdr:cNvPicPr preferRelativeResize="0">
              <a:picLocks noChangeArrowheads="1" noChangeShapeType="1"/>
              <a:extLst>
                <a:ext uri="{84589F7E-364E-4C9E-8A38-B11213B215E9}">
                  <a14:cameraTool cellRange="Logoauswahl18" spid="_x0000_s7492494"/>
                </a:ext>
              </a:extLst>
            </xdr:cNvPicPr>
          </xdr:nvPicPr>
          <xdr:blipFill rotWithShape="1">
            <a:blip xmlns:r="http://schemas.openxmlformats.org/officeDocument/2006/relationships" r:embed="rId19"/>
            <a:srcRect l="29061" t="20932"/>
            <a:stretch>
              <a:fillRect/>
            </a:stretch>
          </xdr:blipFill>
          <xdr:spPr bwMode="auto">
            <a:xfrm>
              <a:off x="3895725" y="7315200"/>
              <a:ext cx="1033000" cy="1046844"/>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7</xdr:col>
          <xdr:colOff>238125</xdr:colOff>
          <xdr:row>33</xdr:row>
          <xdr:rowOff>95250</xdr:rowOff>
        </xdr:from>
        <xdr:ext cx="1042752" cy="1058636"/>
        <xdr:pic>
          <xdr:nvPicPr>
            <xdr:cNvPr id="36" name="Image9"/>
            <xdr:cNvPicPr preferRelativeResize="0">
              <a:picLocks noChangeArrowheads="1" noChangeShapeType="1"/>
              <a:extLst>
                <a:ext uri="{84589F7E-364E-4C9E-8A38-B11213B215E9}">
                  <a14:cameraTool cellRange="Logoauswahl19" spid="_x0000_s7492495"/>
                </a:ext>
              </a:extLst>
            </xdr:cNvPicPr>
          </xdr:nvPicPr>
          <xdr:blipFill rotWithShape="1">
            <a:blip xmlns:r="http://schemas.openxmlformats.org/officeDocument/2006/relationships" r:embed="rId20"/>
            <a:srcRect l="28391" t="20041"/>
            <a:stretch>
              <a:fillRect/>
            </a:stretch>
          </xdr:blipFill>
          <xdr:spPr bwMode="auto">
            <a:xfrm>
              <a:off x="5410200" y="7296150"/>
              <a:ext cx="1042752" cy="1058636"/>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9</xdr:col>
          <xdr:colOff>247650</xdr:colOff>
          <xdr:row>33</xdr:row>
          <xdr:rowOff>133350</xdr:rowOff>
        </xdr:from>
        <xdr:ext cx="1018032" cy="1011691"/>
        <xdr:pic>
          <xdr:nvPicPr>
            <xdr:cNvPr id="37" name="Image9"/>
            <xdr:cNvPicPr preferRelativeResize="0">
              <a:picLocks noChangeArrowheads="1" noChangeShapeType="1"/>
              <a:extLst>
                <a:ext uri="{84589F7E-364E-4C9E-8A38-B11213B215E9}">
                  <a14:cameraTool cellRange="Logoauswahl20" spid="_x0000_s7492496"/>
                </a:ext>
              </a:extLst>
            </xdr:cNvPicPr>
          </xdr:nvPicPr>
          <xdr:blipFill rotWithShape="1">
            <a:blip xmlns:r="http://schemas.openxmlformats.org/officeDocument/2006/relationships" r:embed="rId21"/>
            <a:srcRect l="30089" t="23587"/>
            <a:stretch>
              <a:fillRect/>
            </a:stretch>
          </xdr:blipFill>
          <xdr:spPr bwMode="auto">
            <a:xfrm>
              <a:off x="6943725" y="7334250"/>
              <a:ext cx="1018032" cy="1011691"/>
            </a:xfrm>
            <a:prstGeom prst="rect">
              <a:avLst/>
            </a:prstGeom>
            <a:noFill/>
            <a:ln w="9525">
              <a:noFill/>
              <a:miter lim="800000"/>
              <a:headEnd/>
              <a:tailEnd/>
            </a:ln>
            <a:effectLst>
              <a:softEdge rad="12700"/>
            </a:effectLst>
            <a:extLst>
              <a:ext uri="{909E8E84-426E-40DD-AFC4-6F175D3DCCD1}">
                <a14:hiddenFill>
                  <a:solidFill>
                    <a:srgbClr val="FFFFFF"/>
                  </a:solidFill>
                </a14:hiddenFill>
              </a:ext>
            </a:extLst>
          </xdr:spPr>
        </xdr:pic>
        <xdr:clientData/>
      </xdr:one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0</xdr:col>
      <xdr:colOff>180974</xdr:colOff>
      <xdr:row>3</xdr:row>
      <xdr:rowOff>9525</xdr:rowOff>
    </xdr:from>
    <xdr:to>
      <xdr:col>4</xdr:col>
      <xdr:colOff>9974</xdr:colOff>
      <xdr:row>4</xdr:row>
      <xdr:rowOff>220125</xdr:rowOff>
    </xdr:to>
    <xdr:sp macro="" textlink="">
      <xdr:nvSpPr>
        <xdr:cNvPr id="2" name="Abgerundetes Rechteck 1">
          <a:hlinkClick xmlns:r="http://schemas.openxmlformats.org/officeDocument/2006/relationships" r:id="rId1"/>
        </xdr:cNvPr>
        <xdr:cNvSpPr/>
      </xdr:nvSpPr>
      <xdr:spPr>
        <a:xfrm>
          <a:off x="180974" y="904875"/>
          <a:ext cx="2800800" cy="43920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xdr:twoCellAnchor>
    <xdr:from>
      <xdr:col>1</xdr:col>
      <xdr:colOff>0</xdr:colOff>
      <xdr:row>8</xdr:row>
      <xdr:rowOff>9525</xdr:rowOff>
    </xdr:from>
    <xdr:to>
      <xdr:col>4</xdr:col>
      <xdr:colOff>9975</xdr:colOff>
      <xdr:row>9</xdr:row>
      <xdr:rowOff>220125</xdr:rowOff>
    </xdr:to>
    <xdr:sp macro="Copy_Beleg" textlink="">
      <xdr:nvSpPr>
        <xdr:cNvPr id="5" name="Belegkopie"/>
        <xdr:cNvSpPr/>
      </xdr:nvSpPr>
      <xdr:spPr>
        <a:xfrm>
          <a:off x="180975" y="2276475"/>
          <a:ext cx="2800800" cy="43920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mc:AlternateContent xmlns:mc="http://schemas.openxmlformats.org/markup-compatibility/2006">
    <mc:Choice xmlns:a14="http://schemas.microsoft.com/office/drawing/2010/main" Requires="a14">
      <xdr:twoCellAnchor editAs="oneCell">
        <xdr:from>
          <xdr:col>1</xdr:col>
          <xdr:colOff>50006</xdr:colOff>
          <xdr:row>32</xdr:row>
          <xdr:rowOff>26194</xdr:rowOff>
        </xdr:from>
        <xdr:to>
          <xdr:col>1</xdr:col>
          <xdr:colOff>231901</xdr:colOff>
          <xdr:row>32</xdr:row>
          <xdr:rowOff>222556</xdr:rowOff>
        </xdr:to>
        <xdr:pic>
          <xdr:nvPicPr>
            <xdr:cNvPr id="6" name="Listensymbol"/>
            <xdr:cNvPicPr>
              <a:picLocks noChangeAspect="1"/>
              <a:extLst>
                <a:ext uri="{84589F7E-364E-4C9E-8A38-B11213B215E9}">
                  <a14:cameraTool cellRange="Listensymbol" spid="_x0000_s5450414"/>
                </a:ext>
              </a:extLst>
            </xdr:cNvPicPr>
          </xdr:nvPicPr>
          <xdr:blipFill>
            <a:blip xmlns:r="http://schemas.openxmlformats.org/officeDocument/2006/relationships" r:embed="rId2"/>
            <a:stretch>
              <a:fillRect/>
            </a:stretch>
          </xdr:blipFill>
          <xdr:spPr>
            <a:xfrm>
              <a:off x="230981" y="7541419"/>
              <a:ext cx="181895" cy="196362"/>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21431</xdr:colOff>
          <xdr:row>29</xdr:row>
          <xdr:rowOff>142875</xdr:rowOff>
        </xdr:from>
        <xdr:to>
          <xdr:col>3</xdr:col>
          <xdr:colOff>203326</xdr:colOff>
          <xdr:row>30</xdr:row>
          <xdr:rowOff>105874</xdr:rowOff>
        </xdr:to>
        <xdr:pic>
          <xdr:nvPicPr>
            <xdr:cNvPr id="8" name="Listensymbol"/>
            <xdr:cNvPicPr>
              <a:picLocks noChangeAspect="1"/>
              <a:extLst>
                <a:ext uri="{84589F7E-364E-4C9E-8A38-B11213B215E9}">
                  <a14:cameraTool cellRange="Listensymbol" spid="_x0000_s5450415"/>
                </a:ext>
              </a:extLst>
            </xdr:cNvPicPr>
          </xdr:nvPicPr>
          <xdr:blipFill>
            <a:blip xmlns:r="http://schemas.openxmlformats.org/officeDocument/2006/relationships" r:embed="rId3"/>
            <a:stretch>
              <a:fillRect/>
            </a:stretch>
          </xdr:blipFill>
          <xdr:spPr>
            <a:xfrm>
              <a:off x="2526506" y="6991350"/>
              <a:ext cx="181895" cy="191599"/>
            </a:xfrm>
            <a:prstGeom prst="rect">
              <a:avLst/>
            </a:prstGeom>
          </xdr:spPr>
        </xdr:pic>
        <xdr:clientData/>
      </xdr:twoCellAnchor>
    </mc:Choice>
    <mc:Fallback/>
  </mc:AlternateContent>
  <xdr:twoCellAnchor>
    <xdr:from>
      <xdr:col>1</xdr:col>
      <xdr:colOff>0</xdr:colOff>
      <xdr:row>29</xdr:row>
      <xdr:rowOff>9525</xdr:rowOff>
    </xdr:from>
    <xdr:to>
      <xdr:col>4</xdr:col>
      <xdr:colOff>9975</xdr:colOff>
      <xdr:row>30</xdr:row>
      <xdr:rowOff>220125</xdr:rowOff>
    </xdr:to>
    <xdr:sp macro="" textlink="">
      <xdr:nvSpPr>
        <xdr:cNvPr id="9" name="Abgerundetes Rechteck 8"/>
        <xdr:cNvSpPr/>
      </xdr:nvSpPr>
      <xdr:spPr>
        <a:xfrm>
          <a:off x="180975" y="6962775"/>
          <a:ext cx="2896050" cy="43920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104774</xdr:colOff>
      <xdr:row>0</xdr:row>
      <xdr:rowOff>238124</xdr:rowOff>
    </xdr:from>
    <xdr:to>
      <xdr:col>8</xdr:col>
      <xdr:colOff>238574</xdr:colOff>
      <xdr:row>2</xdr:row>
      <xdr:rowOff>10574</xdr:rowOff>
    </xdr:to>
    <xdr:sp macro="" textlink="">
      <xdr:nvSpPr>
        <xdr:cNvPr id="2" name="Abgerundetes Rechteck 1">
          <a:hlinkClick xmlns:r="http://schemas.openxmlformats.org/officeDocument/2006/relationships" r:id="rId1"/>
        </xdr:cNvPr>
        <xdr:cNvSpPr/>
      </xdr:nvSpPr>
      <xdr:spPr>
        <a:xfrm>
          <a:off x="7800974" y="238124"/>
          <a:ext cx="2800800" cy="439200"/>
        </a:xfrm>
        <a:prstGeom prst="roundRect">
          <a:avLst/>
        </a:prstGeom>
        <a:noFill/>
        <a:ln w="3175">
          <a:solidFill>
            <a:srgbClr val="00A7E7"/>
          </a:solidFill>
        </a:ln>
      </xdr:spPr>
      <xdr:style>
        <a:lnRef idx="2">
          <a:schemeClr val="dk1"/>
        </a:lnRef>
        <a:fillRef idx="1">
          <a:schemeClr val="lt1"/>
        </a:fillRef>
        <a:effectRef idx="0">
          <a:schemeClr val="dk1"/>
        </a:effectRef>
        <a:fontRef idx="minor">
          <a:schemeClr val="dk1"/>
        </a:fontRef>
      </xdr:style>
    </xdr:sp>
    <xdr:clientData/>
  </xdr:twoCellAnchor>
  <xdr:twoCellAnchor>
    <xdr:from>
      <xdr:col>0</xdr:col>
      <xdr:colOff>180974</xdr:colOff>
      <xdr:row>5</xdr:row>
      <xdr:rowOff>47624</xdr:rowOff>
    </xdr:from>
    <xdr:to>
      <xdr:col>3</xdr:col>
      <xdr:colOff>47625</xdr:colOff>
      <xdr:row>5</xdr:row>
      <xdr:rowOff>219075</xdr:rowOff>
    </xdr:to>
    <xdr:sp macro="" textlink="">
      <xdr:nvSpPr>
        <xdr:cNvPr id="4" name="Abgerundetes Rechteck 3">
          <a:hlinkClick xmlns:r="http://schemas.openxmlformats.org/officeDocument/2006/relationships" r:id="rId2"/>
        </xdr:cNvPr>
        <xdr:cNvSpPr/>
      </xdr:nvSpPr>
      <xdr:spPr>
        <a:xfrm>
          <a:off x="180974" y="1171574"/>
          <a:ext cx="2095501" cy="171451"/>
        </a:xfrm>
        <a:prstGeom prst="roundRect">
          <a:avLst/>
        </a:prstGeom>
        <a:noFill/>
        <a:ln w="3175">
          <a:noFill/>
        </a:ln>
      </xdr:spPr>
      <xdr:style>
        <a:lnRef idx="2">
          <a:schemeClr val="dk1"/>
        </a:lnRef>
        <a:fillRef idx="1">
          <a:schemeClr val="lt1"/>
        </a:fillRef>
        <a:effectRef idx="0">
          <a:schemeClr val="dk1"/>
        </a:effectRef>
        <a:fontRef idx="minor">
          <a:schemeClr val="dk1"/>
        </a:fontRef>
      </xdr:style>
    </xdr:sp>
    <xdr:clientData/>
  </xdr:twoCellAnchor>
</xdr:wsDr>
</file>

<file path=xl/drawings/drawing13.xml><?xml version="1.0" encoding="utf-8"?>
<xdr:wsDr xmlns:xdr="http://schemas.openxmlformats.org/drawingml/2006/spreadsheetDrawing" xmlns:a="http://schemas.openxmlformats.org/drawingml/2006/main">
  <xdr:oneCellAnchor>
    <xdr:from>
      <xdr:col>4</xdr:col>
      <xdr:colOff>9525</xdr:colOff>
      <xdr:row>5</xdr:row>
      <xdr:rowOff>19050</xdr:rowOff>
    </xdr:from>
    <xdr:ext cx="3809999" cy="718466"/>
    <xdr:sp macro="" textlink="$H$14">
      <xdr:nvSpPr>
        <xdr:cNvPr id="2" name="Rechteck 1"/>
        <xdr:cNvSpPr/>
      </xdr:nvSpPr>
      <xdr:spPr>
        <a:xfrm>
          <a:off x="5829300" y="914400"/>
          <a:ext cx="3809999" cy="718466"/>
        </a:xfrm>
        <a:prstGeom prst="rect">
          <a:avLst/>
        </a:prstGeom>
        <a:noFill/>
      </xdr:spPr>
      <xdr:txBody>
        <a:bodyPr wrap="square" lIns="91440" tIns="45720" rIns="91440" bIns="45720">
          <a:spAutoFit/>
          <a:scene3d>
            <a:camera prst="orthographicFront"/>
            <a:lightRig rig="soft" dir="t">
              <a:rot lat="0" lon="0" rev="10800000"/>
            </a:lightRig>
          </a:scene3d>
          <a:sp3d>
            <a:bevelT w="27940" h="12700"/>
            <a:contourClr>
              <a:srgbClr val="DDDDDD"/>
            </a:contourClr>
          </a:sp3d>
        </a:bodyPr>
        <a:lstStyle/>
        <a:p>
          <a:pPr algn="ctr"/>
          <a:fld id="{697F0FCE-369E-4AD4-9148-F86EB732C116}" type="TxLink">
            <a:rPr lang="en-US" sz="4000" b="0" i="0" u="none" strike="noStrike" cap="none" spc="150">
              <a:ln w="11430">
                <a:solidFill>
                  <a:schemeClr val="bg1">
                    <a:lumMod val="75000"/>
                  </a:schemeClr>
                </a:solidFill>
              </a:ln>
              <a:noFill/>
              <a:effectLst/>
              <a:latin typeface="Calibri"/>
              <a:cs typeface="Arial"/>
            </a:rPr>
            <a:pPr algn="ctr"/>
            <a:t> </a:t>
          </a:fld>
          <a:endParaRPr lang="de-DE" sz="4000" b="1" cap="none" spc="150">
            <a:ln w="11430">
              <a:solidFill>
                <a:schemeClr val="bg1">
                  <a:lumMod val="75000"/>
                </a:schemeClr>
              </a:solidFill>
            </a:ln>
            <a:noFill/>
            <a:effectLst/>
          </a:endParaRPr>
        </a:p>
      </xdr:txBody>
    </xdr:sp>
    <xdr:clientData/>
  </xdr:oneCellAnchor>
  <xdr:twoCellAnchor editAs="oneCell">
    <xdr:from>
      <xdr:col>3</xdr:col>
      <xdr:colOff>6218</xdr:colOff>
      <xdr:row>5</xdr:row>
      <xdr:rowOff>8835</xdr:rowOff>
    </xdr:from>
    <xdr:to>
      <xdr:col>3</xdr:col>
      <xdr:colOff>150218</xdr:colOff>
      <xdr:row>6</xdr:row>
      <xdr:rowOff>434</xdr:rowOff>
    </xdr:to>
    <xdr:pic>
      <xdr:nvPicPr>
        <xdr:cNvPr id="3" name="Listensymbol"/>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5008" y="1087065"/>
          <a:ext cx="144000" cy="14399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1</xdr:col>
      <xdr:colOff>256193</xdr:colOff>
      <xdr:row>0</xdr:row>
      <xdr:rowOff>180028</xdr:rowOff>
    </xdr:from>
    <xdr:ext cx="720000" cy="720000"/>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018193" y="180028"/>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254812</xdr:colOff>
      <xdr:row>1</xdr:row>
      <xdr:rowOff>179750</xdr:rowOff>
    </xdr:from>
    <xdr:ext cx="720000" cy="720000"/>
    <xdr:pic>
      <xdr:nvPicPr>
        <xdr:cNvPr id="3" name="Picture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1016812" y="1068750"/>
          <a:ext cx="720000" cy="720000"/>
        </a:xfrm>
        <a:prstGeom prst="rect">
          <a:avLst/>
        </a:prstGeom>
        <a:blipFill>
          <a:blip xmlns:r="http://schemas.openxmlformats.org/officeDocument/2006/relationships" r:embed="rId3"/>
          <a:stretch>
            <a:fillRect/>
          </a:stretch>
        </a:blipFill>
        <a:ln>
          <a:noFill/>
        </a:ln>
        <a:extLst/>
      </xdr:spPr>
    </xdr:pic>
    <xdr:clientData/>
  </xdr:oneCellAnchor>
  <xdr:oneCellAnchor>
    <xdr:from>
      <xdr:col>1</xdr:col>
      <xdr:colOff>238043</xdr:colOff>
      <xdr:row>2</xdr:row>
      <xdr:rowOff>184376</xdr:rowOff>
    </xdr:from>
    <xdr:ext cx="720000" cy="720000"/>
    <xdr:pic>
      <xdr:nvPicPr>
        <xdr:cNvPr id="4" name="Picture 4"/>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bwMode="auto">
        <a:xfrm>
          <a:off x="1000043" y="1962376"/>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260541</xdr:colOff>
      <xdr:row>3</xdr:row>
      <xdr:rowOff>196120</xdr:rowOff>
    </xdr:from>
    <xdr:ext cx="720000" cy="720000"/>
    <xdr:pic>
      <xdr:nvPicPr>
        <xdr:cNvPr id="5" name="Picture 4"/>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bwMode="auto">
        <a:xfrm>
          <a:off x="1022541" y="2863120"/>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268238</xdr:colOff>
      <xdr:row>4</xdr:row>
      <xdr:rowOff>238128</xdr:rowOff>
    </xdr:from>
    <xdr:ext cx="720000" cy="720000"/>
    <xdr:pic>
      <xdr:nvPicPr>
        <xdr:cNvPr id="6" name="Picture 5"/>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bwMode="auto">
        <a:xfrm>
          <a:off x="1030238" y="3794128"/>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268702</xdr:colOff>
      <xdr:row>5</xdr:row>
      <xdr:rowOff>168438</xdr:rowOff>
    </xdr:from>
    <xdr:ext cx="720000" cy="720000"/>
    <xdr:pic>
      <xdr:nvPicPr>
        <xdr:cNvPr id="7" name="Picture 6"/>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bwMode="auto">
        <a:xfrm>
          <a:off x="1030702" y="4613438"/>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256439</xdr:colOff>
      <xdr:row>6</xdr:row>
      <xdr:rowOff>180651</xdr:rowOff>
    </xdr:from>
    <xdr:ext cx="720000" cy="720000"/>
    <xdr:pic>
      <xdr:nvPicPr>
        <xdr:cNvPr id="8" name="Picture 7"/>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bwMode="auto">
        <a:xfrm>
          <a:off x="1018439" y="5514651"/>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255243</xdr:colOff>
      <xdr:row>7</xdr:row>
      <xdr:rowOff>184801</xdr:rowOff>
    </xdr:from>
    <xdr:ext cx="744820" cy="720000"/>
    <xdr:pic>
      <xdr:nvPicPr>
        <xdr:cNvPr id="9" name="Picture 8"/>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bwMode="auto">
        <a:xfrm>
          <a:off x="1017243" y="6407801"/>
          <a:ext cx="74482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274871</xdr:colOff>
      <xdr:row>8</xdr:row>
      <xdr:rowOff>165876</xdr:rowOff>
    </xdr:from>
    <xdr:ext cx="720000" cy="720000"/>
    <xdr:pic>
      <xdr:nvPicPr>
        <xdr:cNvPr id="10" name="Picture 9"/>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bwMode="auto">
        <a:xfrm>
          <a:off x="1036871" y="7277876"/>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269570</xdr:colOff>
      <xdr:row>9</xdr:row>
      <xdr:rowOff>196499</xdr:rowOff>
    </xdr:from>
    <xdr:ext cx="720000" cy="720000"/>
    <xdr:pic>
      <xdr:nvPicPr>
        <xdr:cNvPr id="11" name="Picture 10"/>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bwMode="auto">
        <a:xfrm>
          <a:off x="1031570" y="8197499"/>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268993</xdr:colOff>
      <xdr:row>10</xdr:row>
      <xdr:rowOff>203658</xdr:rowOff>
    </xdr:from>
    <xdr:ext cx="720000" cy="720000"/>
    <xdr:pic>
      <xdr:nvPicPr>
        <xdr:cNvPr id="24" name="Picture 9"/>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bwMode="auto">
        <a:xfrm>
          <a:off x="1030993" y="9093658"/>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270890</xdr:colOff>
      <xdr:row>11</xdr:row>
      <xdr:rowOff>196275</xdr:rowOff>
    </xdr:from>
    <xdr:ext cx="720000" cy="720000"/>
    <xdr:pic>
      <xdr:nvPicPr>
        <xdr:cNvPr id="25" name="Picture 9"/>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bwMode="auto">
        <a:xfrm>
          <a:off x="1032890" y="9975275"/>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277610</xdr:colOff>
      <xdr:row>12</xdr:row>
      <xdr:rowOff>178326</xdr:rowOff>
    </xdr:from>
    <xdr:ext cx="720000" cy="720000"/>
    <xdr:pic>
      <xdr:nvPicPr>
        <xdr:cNvPr id="26" name="Picture 9"/>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bwMode="auto">
        <a:xfrm>
          <a:off x="1039610" y="10846326"/>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280838</xdr:colOff>
      <xdr:row>13</xdr:row>
      <xdr:rowOff>165391</xdr:rowOff>
    </xdr:from>
    <xdr:ext cx="720000" cy="720000"/>
    <xdr:pic>
      <xdr:nvPicPr>
        <xdr:cNvPr id="27" name="Picture 9"/>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bwMode="auto">
        <a:xfrm>
          <a:off x="1042838" y="11722391"/>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274962</xdr:colOff>
      <xdr:row>14</xdr:row>
      <xdr:rowOff>151740</xdr:rowOff>
    </xdr:from>
    <xdr:ext cx="720000" cy="720000"/>
    <xdr:pic>
      <xdr:nvPicPr>
        <xdr:cNvPr id="28" name="Picture 9"/>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bwMode="auto">
        <a:xfrm>
          <a:off x="1036962" y="12597740"/>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276850</xdr:colOff>
      <xdr:row>15</xdr:row>
      <xdr:rowOff>179885</xdr:rowOff>
    </xdr:from>
    <xdr:ext cx="720000" cy="720000"/>
    <xdr:pic>
      <xdr:nvPicPr>
        <xdr:cNvPr id="29" name="Picture 9"/>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bwMode="auto">
        <a:xfrm>
          <a:off x="1038850" y="13514885"/>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272607</xdr:colOff>
      <xdr:row>16</xdr:row>
      <xdr:rowOff>153295</xdr:rowOff>
    </xdr:from>
    <xdr:ext cx="720000" cy="720000"/>
    <xdr:pic>
      <xdr:nvPicPr>
        <xdr:cNvPr id="30" name="Picture 9"/>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bwMode="auto">
        <a:xfrm>
          <a:off x="1034607" y="14377295"/>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272324</xdr:colOff>
      <xdr:row>17</xdr:row>
      <xdr:rowOff>148249</xdr:rowOff>
    </xdr:from>
    <xdr:ext cx="720000" cy="720000"/>
    <xdr:pic>
      <xdr:nvPicPr>
        <xdr:cNvPr id="31" name="Picture 9"/>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bwMode="auto">
        <a:xfrm>
          <a:off x="1034324" y="15261249"/>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278752</xdr:colOff>
      <xdr:row>18</xdr:row>
      <xdr:rowOff>160418</xdr:rowOff>
    </xdr:from>
    <xdr:ext cx="720000" cy="720000"/>
    <xdr:pic>
      <xdr:nvPicPr>
        <xdr:cNvPr id="32" name="Picture 9"/>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bwMode="auto">
        <a:xfrm>
          <a:off x="1040752" y="16162418"/>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276052</xdr:colOff>
      <xdr:row>19</xdr:row>
      <xdr:rowOff>159916</xdr:rowOff>
    </xdr:from>
    <xdr:ext cx="720000" cy="720000"/>
    <xdr:pic>
      <xdr:nvPicPr>
        <xdr:cNvPr id="33" name="Picture 9"/>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bwMode="auto">
        <a:xfrm>
          <a:off x="1038052" y="17050916"/>
          <a:ext cx="720000" cy="72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299304</xdr:colOff>
      <xdr:row>20</xdr:row>
      <xdr:rowOff>339395</xdr:rowOff>
    </xdr:from>
    <xdr:ext cx="66308" cy="72000"/>
    <xdr:pic>
      <xdr:nvPicPr>
        <xdr:cNvPr id="22" name="Picture 9"/>
        <xdr:cNvPicPr>
          <a:picLocks noChangeAspect="1" noChangeArrowheads="1"/>
        </xdr:cNvPicPr>
      </xdr:nvPicPr>
      <xdr:blipFill>
        <a:blip xmlns:r="http://schemas.openxmlformats.org/officeDocument/2006/relationships" r:embed="rId22" cstate="print">
          <a:extLst>
            <a:ext uri="{BEBA8EAE-BF5A-486C-A8C5-ECC9F3942E4B}">
              <a14:imgProps xmlns:a14="http://schemas.microsoft.com/office/drawing/2010/main">
                <a14:imgLayer r:embed="rId23">
                  <a14:imgEffect>
                    <a14:sharpenSoften amount="-100000"/>
                  </a14:imgEffect>
                  <a14:imgEffect>
                    <a14:brightnessContrast bright="100000"/>
                  </a14:imgEffect>
                </a14:imgLayer>
              </a14:imgProps>
            </a:ext>
            <a:ext uri="{28A0092B-C50C-407E-A947-70E740481C1C}">
              <a14:useLocalDpi xmlns:a14="http://schemas.microsoft.com/office/drawing/2010/main" val="0"/>
            </a:ext>
          </a:extLst>
        </a:blip>
        <a:stretch>
          <a:fillRect/>
        </a:stretch>
      </xdr:blipFill>
      <xdr:spPr bwMode="auto">
        <a:xfrm>
          <a:off x="1061304" y="18119395"/>
          <a:ext cx="66308" cy="72000"/>
        </a:xfrm>
        <a:prstGeom prst="rect">
          <a:avLst/>
        </a:prstGeom>
        <a:solidFill>
          <a:schemeClr val="lt1">
            <a:alpha val="0"/>
          </a:schemeClr>
        </a:solidFill>
        <a:ln>
          <a:noFill/>
        </a:ln>
        <a:extLst/>
      </xdr:spPr>
    </xdr:pic>
    <xdr:clientData/>
  </xdr:oneCellAnchor>
  <xdr:twoCellAnchor editAs="oneCell">
    <xdr:from>
      <xdr:col>13</xdr:col>
      <xdr:colOff>35987</xdr:colOff>
      <xdr:row>0</xdr:row>
      <xdr:rowOff>268815</xdr:rowOff>
    </xdr:from>
    <xdr:to>
      <xdr:col>13</xdr:col>
      <xdr:colOff>1098842</xdr:colOff>
      <xdr:row>0</xdr:row>
      <xdr:rowOff>561437</xdr:rowOff>
    </xdr:to>
    <xdr:pic>
      <xdr:nvPicPr>
        <xdr:cNvPr id="12" name="Musterbeleg1"/>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1866037" y="268815"/>
          <a:ext cx="1062855" cy="292622"/>
        </a:xfrm>
        <a:prstGeom prst="rect">
          <a:avLst/>
        </a:prstGeom>
      </xdr:spPr>
    </xdr:pic>
    <xdr:clientData/>
  </xdr:twoCellAnchor>
  <xdr:twoCellAnchor editAs="oneCell">
    <xdr:from>
      <xdr:col>13</xdr:col>
      <xdr:colOff>37788</xdr:colOff>
      <xdr:row>1</xdr:row>
      <xdr:rowOff>273824</xdr:rowOff>
    </xdr:from>
    <xdr:to>
      <xdr:col>13</xdr:col>
      <xdr:colOff>1096930</xdr:colOff>
      <xdr:row>1</xdr:row>
      <xdr:rowOff>565424</xdr:rowOff>
    </xdr:to>
    <xdr:pic>
      <xdr:nvPicPr>
        <xdr:cNvPr id="13" name="Musterbeleg2"/>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1867838" y="1159649"/>
          <a:ext cx="1059142" cy="291600"/>
        </a:xfrm>
        <a:prstGeom prst="rect">
          <a:avLst/>
        </a:prstGeom>
      </xdr:spPr>
    </xdr:pic>
    <xdr:clientData/>
  </xdr:twoCellAnchor>
  <xdr:twoCellAnchor editAs="oneCell">
    <xdr:from>
      <xdr:col>13</xdr:col>
      <xdr:colOff>37249</xdr:colOff>
      <xdr:row>2</xdr:row>
      <xdr:rowOff>269464</xdr:rowOff>
    </xdr:from>
    <xdr:to>
      <xdr:col>13</xdr:col>
      <xdr:colOff>1099249</xdr:colOff>
      <xdr:row>2</xdr:row>
      <xdr:rowOff>561851</xdr:rowOff>
    </xdr:to>
    <xdr:pic>
      <xdr:nvPicPr>
        <xdr:cNvPr id="14" name="Musterbeleg3"/>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11867299" y="2041114"/>
          <a:ext cx="1062000" cy="292387"/>
        </a:xfrm>
        <a:prstGeom prst="rect">
          <a:avLst/>
        </a:prstGeom>
      </xdr:spPr>
    </xdr:pic>
    <xdr:clientData/>
  </xdr:twoCellAnchor>
  <xdr:twoCellAnchor editAs="oneCell">
    <xdr:from>
      <xdr:col>13</xdr:col>
      <xdr:colOff>39880</xdr:colOff>
      <xdr:row>3</xdr:row>
      <xdr:rowOff>277341</xdr:rowOff>
    </xdr:from>
    <xdr:to>
      <xdr:col>13</xdr:col>
      <xdr:colOff>1098280</xdr:colOff>
      <xdr:row>3</xdr:row>
      <xdr:rowOff>568737</xdr:rowOff>
    </xdr:to>
    <xdr:pic>
      <xdr:nvPicPr>
        <xdr:cNvPr id="15" name="Musterbeleg4"/>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11869930" y="2934816"/>
          <a:ext cx="1058400" cy="291396"/>
        </a:xfrm>
        <a:prstGeom prst="rect">
          <a:avLst/>
        </a:prstGeom>
      </xdr:spPr>
    </xdr:pic>
    <xdr:clientData/>
  </xdr:twoCellAnchor>
  <xdr:twoCellAnchor editAs="oneCell">
    <xdr:from>
      <xdr:col>13</xdr:col>
      <xdr:colOff>34390</xdr:colOff>
      <xdr:row>4</xdr:row>
      <xdr:rowOff>241968</xdr:rowOff>
    </xdr:from>
    <xdr:to>
      <xdr:col>13</xdr:col>
      <xdr:colOff>1095145</xdr:colOff>
      <xdr:row>4</xdr:row>
      <xdr:rowOff>534011</xdr:rowOff>
    </xdr:to>
    <xdr:pic>
      <xdr:nvPicPr>
        <xdr:cNvPr id="16" name="Musterbeleg5"/>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11864440" y="3785268"/>
          <a:ext cx="1060755" cy="292043"/>
        </a:xfrm>
        <a:prstGeom prst="rect">
          <a:avLst/>
        </a:prstGeom>
      </xdr:spPr>
    </xdr:pic>
    <xdr:clientData/>
  </xdr:twoCellAnchor>
  <xdr:twoCellAnchor editAs="oneCell">
    <xdr:from>
      <xdr:col>13</xdr:col>
      <xdr:colOff>40764</xdr:colOff>
      <xdr:row>5</xdr:row>
      <xdr:rowOff>279345</xdr:rowOff>
    </xdr:from>
    <xdr:to>
      <xdr:col>13</xdr:col>
      <xdr:colOff>1099164</xdr:colOff>
      <xdr:row>5</xdr:row>
      <xdr:rowOff>570741</xdr:rowOff>
    </xdr:to>
    <xdr:pic>
      <xdr:nvPicPr>
        <xdr:cNvPr id="17" name="Musterbeleg6"/>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11870814" y="4708470"/>
          <a:ext cx="1058400" cy="29139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19</xdr:col>
          <xdr:colOff>760576</xdr:colOff>
          <xdr:row>2</xdr:row>
          <xdr:rowOff>9169</xdr:rowOff>
        </xdr:from>
        <xdr:to>
          <xdr:col>21</xdr:col>
          <xdr:colOff>436726</xdr:colOff>
          <xdr:row>3</xdr:row>
          <xdr:rowOff>9169</xdr:rowOff>
        </xdr:to>
        <xdr:pic>
          <xdr:nvPicPr>
            <xdr:cNvPr id="35" name="Musterbeleg6"/>
            <xdr:cNvPicPr>
              <a:picLocks noChangeAspect="1"/>
              <a:extLst>
                <a:ext uri="{84589F7E-364E-4C9E-8A38-B11213B215E9}">
                  <a14:cameraTool cellRange="Musterbelegauswahl" spid="_x0000_s7113971"/>
                </a:ext>
              </a:extLst>
            </xdr:cNvPicPr>
          </xdr:nvPicPr>
          <xdr:blipFill>
            <a:blip xmlns:r="http://schemas.openxmlformats.org/officeDocument/2006/relationships" r:embed="rId30"/>
            <a:stretch>
              <a:fillRect/>
            </a:stretch>
          </xdr:blipFill>
          <xdr:spPr>
            <a:xfrm>
              <a:off x="17600776" y="1780819"/>
              <a:ext cx="1200150" cy="885825"/>
            </a:xfrm>
            <a:prstGeom prst="rect">
              <a:avLst/>
            </a:prstGeom>
          </xdr:spPr>
        </xdr:pic>
        <xdr:clientData/>
      </xdr:twoCellAnchor>
    </mc:Choice>
    <mc:Fallback/>
  </mc:AlternateContent>
  <xdr:twoCellAnchor editAs="oneCell">
    <xdr:from>
      <xdr:col>13</xdr:col>
      <xdr:colOff>4761</xdr:colOff>
      <xdr:row>6</xdr:row>
      <xdr:rowOff>876300</xdr:rowOff>
    </xdr:from>
    <xdr:to>
      <xdr:col>13</xdr:col>
      <xdr:colOff>904761</xdr:colOff>
      <xdr:row>8</xdr:row>
      <xdr:rowOff>14175</xdr:rowOff>
    </xdr:to>
    <xdr:pic>
      <xdr:nvPicPr>
        <xdr:cNvPr id="23" name="Grafik 22"/>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12053886" y="6162675"/>
          <a:ext cx="900000" cy="900000"/>
        </a:xfrm>
        <a:prstGeom prst="rect">
          <a:avLst/>
        </a:prstGeom>
        <a:blipFill>
          <a:blip xmlns:r="http://schemas.openxmlformats.org/officeDocument/2006/relationships" r:embed="rId32"/>
          <a:stretch>
            <a:fillRect/>
          </a:stretch>
        </a:blipFill>
      </xdr:spPr>
    </xdr:pic>
    <xdr:clientData/>
  </xdr:twoCellAnchor>
  <xdr:twoCellAnchor editAs="oneCell">
    <xdr:from>
      <xdr:col>13</xdr:col>
      <xdr:colOff>19130</xdr:colOff>
      <xdr:row>9</xdr:row>
      <xdr:rowOff>211931</xdr:rowOff>
    </xdr:from>
    <xdr:to>
      <xdr:col>13</xdr:col>
      <xdr:colOff>919130</xdr:colOff>
      <xdr:row>9</xdr:row>
      <xdr:rowOff>665695</xdr:rowOff>
    </xdr:to>
    <xdr:pic>
      <xdr:nvPicPr>
        <xdr:cNvPr id="34" name="Grafik 33"/>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12068255" y="8141494"/>
          <a:ext cx="900000" cy="45376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20</xdr:col>
          <xdr:colOff>189076</xdr:colOff>
          <xdr:row>7</xdr:row>
          <xdr:rowOff>197737</xdr:rowOff>
        </xdr:from>
        <xdr:to>
          <xdr:col>22</xdr:col>
          <xdr:colOff>429076</xdr:colOff>
          <xdr:row>9</xdr:row>
          <xdr:rowOff>199612</xdr:rowOff>
        </xdr:to>
        <xdr:pic>
          <xdr:nvPicPr>
            <xdr:cNvPr id="40" name="Musterbeleg6"/>
            <xdr:cNvPicPr>
              <a:picLocks noChangeAspect="1"/>
              <a:extLst>
                <a:ext uri="{84589F7E-364E-4C9E-8A38-B11213B215E9}">
                  <a14:cameraTool cellRange="QRCode_Auswahl" spid="_x0000_s7113972"/>
                </a:ext>
              </a:extLst>
            </xdr:cNvPicPr>
          </xdr:nvPicPr>
          <xdr:blipFill>
            <a:blip xmlns:r="http://schemas.openxmlformats.org/officeDocument/2006/relationships" r:embed="rId34"/>
            <a:stretch>
              <a:fillRect/>
            </a:stretch>
          </xdr:blipFill>
          <xdr:spPr>
            <a:xfrm>
              <a:off x="18012732" y="6365175"/>
              <a:ext cx="1764000" cy="1764000"/>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47624</xdr:colOff>
          <xdr:row>12</xdr:row>
          <xdr:rowOff>19049</xdr:rowOff>
        </xdr:from>
        <xdr:to>
          <xdr:col>13</xdr:col>
          <xdr:colOff>936952</xdr:colOff>
          <xdr:row>13</xdr:row>
          <xdr:rowOff>33224</xdr:rowOff>
        </xdr:to>
        <xdr:pic>
          <xdr:nvPicPr>
            <xdr:cNvPr id="36" name="Musterbeleg6"/>
            <xdr:cNvPicPr>
              <a:picLocks noChangeAspect="1"/>
              <a:extLst>
                <a:ext uri="{84589F7E-364E-4C9E-8A38-B11213B215E9}">
                  <a14:cameraTool cellRange="QRCode_Auswahl" spid="_x0000_s7113973"/>
                </a:ext>
              </a:extLst>
            </xdr:cNvPicPr>
          </xdr:nvPicPr>
          <xdr:blipFill rotWithShape="1">
            <a:blip xmlns:r="http://schemas.openxmlformats.org/officeDocument/2006/relationships" r:embed="rId35"/>
            <a:srcRect r="50767" b="46486"/>
            <a:stretch>
              <a:fillRect/>
            </a:stretch>
          </xdr:blipFill>
          <xdr:spPr>
            <a:xfrm>
              <a:off x="11877674" y="11534774"/>
              <a:ext cx="889328" cy="900000"/>
            </a:xfrm>
            <a:prstGeom prst="rect">
              <a:avLst/>
            </a:prstGeom>
          </xdr:spPr>
        </xdr:pic>
        <xdr:clientData/>
      </xdr:twoCellAnchor>
    </mc:Choice>
    <mc:Fallback/>
  </mc:AlternateContent>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11.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pageSetUpPr autoPageBreaks="0" fitToPage="1"/>
  </sheetPr>
  <dimension ref="A1:G403"/>
  <sheetViews>
    <sheetView showGridLines="0" showRowColHeaders="0" tabSelected="1" zoomScaleNormal="100" workbookViewId="0">
      <selection activeCell="E9" sqref="E9:F9"/>
    </sheetView>
  </sheetViews>
  <sheetFormatPr baseColWidth="10" defaultRowHeight="15" x14ac:dyDescent="0.3"/>
  <cols>
    <col min="1" max="1" width="4.7109375" style="261" customWidth="1"/>
    <col min="2" max="2" width="60.7109375" style="261" customWidth="1"/>
    <col min="3" max="3" width="9.85546875" style="261" customWidth="1"/>
    <col min="4" max="4" width="27.5703125" style="261" customWidth="1"/>
    <col min="5" max="5" width="42.7109375" style="261" customWidth="1"/>
    <col min="6" max="6" width="3.7109375" style="261" customWidth="1"/>
    <col min="7" max="16384" width="11.42578125" style="261"/>
  </cols>
  <sheetData>
    <row r="1" spans="1:7" x14ac:dyDescent="0.3">
      <c r="A1" s="463"/>
    </row>
    <row r="2" spans="1:7" s="258" customFormat="1" ht="22.5" customHeight="1" x14ac:dyDescent="0.35">
      <c r="B2" s="477" t="s">
        <v>423</v>
      </c>
      <c r="C2" s="475"/>
      <c r="D2" s="475"/>
      <c r="E2" s="475"/>
      <c r="F2" s="475"/>
    </row>
    <row r="3" spans="1:7" s="258" customFormat="1" ht="60.75" customHeight="1" x14ac:dyDescent="0.35">
      <c r="B3" s="476" t="s">
        <v>424</v>
      </c>
      <c r="C3" s="475"/>
      <c r="D3" s="475"/>
      <c r="E3" s="475"/>
      <c r="F3" s="475"/>
    </row>
    <row r="4" spans="1:7" s="258" customFormat="1" ht="27.75" customHeight="1" x14ac:dyDescent="0.35">
      <c r="B4" s="479"/>
      <c r="C4" s="479"/>
      <c r="D4" s="479"/>
      <c r="E4" s="479"/>
    </row>
    <row r="5" spans="1:7" s="259" customFormat="1" ht="21" customHeight="1" x14ac:dyDescent="0.35">
      <c r="B5" s="344" t="s">
        <v>125</v>
      </c>
      <c r="C5" s="406"/>
      <c r="D5" s="483" t="s">
        <v>126</v>
      </c>
      <c r="E5" s="483"/>
      <c r="F5" s="448"/>
      <c r="G5" s="449"/>
    </row>
    <row r="6" spans="1:7" ht="9" customHeight="1" x14ac:dyDescent="0.35">
      <c r="A6" s="258"/>
      <c r="B6" s="260"/>
      <c r="C6" s="260"/>
      <c r="D6" s="260"/>
      <c r="E6" s="260"/>
    </row>
    <row r="7" spans="1:7" ht="30" customHeight="1" x14ac:dyDescent="0.3">
      <c r="B7" s="262" t="s">
        <v>132</v>
      </c>
      <c r="C7" s="262"/>
      <c r="D7" s="487" t="s">
        <v>391</v>
      </c>
      <c r="E7" s="487"/>
      <c r="F7" s="487"/>
      <c r="G7" s="263"/>
    </row>
    <row r="8" spans="1:7" ht="9" customHeight="1" x14ac:dyDescent="0.35">
      <c r="A8" s="258"/>
      <c r="B8" s="264"/>
      <c r="C8" s="264"/>
      <c r="D8" s="260"/>
      <c r="E8" s="260"/>
    </row>
    <row r="9" spans="1:7" ht="18.75" customHeight="1" x14ac:dyDescent="0.3">
      <c r="B9" s="480" t="s">
        <v>240</v>
      </c>
      <c r="D9" s="265" t="str">
        <f>+intern_Datenblatt!A7</f>
        <v>Anrede</v>
      </c>
      <c r="E9" s="484" t="s">
        <v>1</v>
      </c>
      <c r="F9" s="484"/>
    </row>
    <row r="10" spans="1:7" ht="3.95" customHeight="1" x14ac:dyDescent="0.3">
      <c r="B10" s="480"/>
      <c r="D10" s="265"/>
      <c r="E10" s="266"/>
    </row>
    <row r="11" spans="1:7" ht="18.75" customHeight="1" x14ac:dyDescent="0.3">
      <c r="B11" s="480"/>
      <c r="D11" s="265" t="str">
        <f>+intern_Datenblatt!A29</f>
        <v>Firma</v>
      </c>
      <c r="E11" s="484" t="s">
        <v>426</v>
      </c>
      <c r="F11" s="484"/>
    </row>
    <row r="12" spans="1:7" ht="3.95" customHeight="1" x14ac:dyDescent="0.3">
      <c r="B12" s="345"/>
      <c r="D12" s="263"/>
      <c r="E12" s="263"/>
    </row>
    <row r="13" spans="1:7" ht="18.75" customHeight="1" x14ac:dyDescent="0.3">
      <c r="B13" s="480" t="s">
        <v>206</v>
      </c>
      <c r="D13" s="265" t="str">
        <f>+intern_Datenblatt!A27</f>
        <v>Geschäftsbezeichnung</v>
      </c>
      <c r="E13" s="484" t="s">
        <v>427</v>
      </c>
      <c r="F13" s="484"/>
    </row>
    <row r="14" spans="1:7" ht="3.95" customHeight="1" x14ac:dyDescent="0.3">
      <c r="B14" s="480"/>
      <c r="D14" s="265"/>
      <c r="E14" s="266"/>
    </row>
    <row r="15" spans="1:7" ht="18.75" customHeight="1" x14ac:dyDescent="0.3">
      <c r="B15" s="480"/>
      <c r="D15" s="265" t="str">
        <f>+intern_Datenblatt!A64</f>
        <v>Straße</v>
      </c>
      <c r="E15" s="484" t="s">
        <v>428</v>
      </c>
      <c r="F15" s="484"/>
    </row>
    <row r="16" spans="1:7" ht="3.95" customHeight="1" x14ac:dyDescent="0.3">
      <c r="B16" s="345"/>
      <c r="D16" s="265"/>
      <c r="E16" s="266"/>
    </row>
    <row r="17" spans="2:6" ht="18.75" customHeight="1" x14ac:dyDescent="0.3">
      <c r="B17" s="480" t="s">
        <v>77</v>
      </c>
      <c r="D17" s="265" t="str">
        <f>+intern_Datenblatt!A51</f>
        <v>PLZ und Ort</v>
      </c>
      <c r="E17" s="484" t="s">
        <v>429</v>
      </c>
      <c r="F17" s="484"/>
    </row>
    <row r="18" spans="2:6" ht="3.95" customHeight="1" x14ac:dyDescent="0.3">
      <c r="B18" s="480"/>
      <c r="D18" s="265"/>
      <c r="E18" s="266"/>
    </row>
    <row r="19" spans="2:6" ht="18.75" customHeight="1" x14ac:dyDescent="0.3">
      <c r="B19" s="480"/>
      <c r="D19" s="265" t="str">
        <f>+intern_Datenblatt!A66</f>
        <v>Telefon</v>
      </c>
      <c r="E19" s="485" t="s">
        <v>430</v>
      </c>
      <c r="F19" s="484"/>
    </row>
    <row r="20" spans="2:6" ht="3.95" customHeight="1" x14ac:dyDescent="0.3">
      <c r="B20" s="345"/>
      <c r="D20" s="265"/>
      <c r="E20" s="266"/>
    </row>
    <row r="21" spans="2:6" ht="18.75" customHeight="1" x14ac:dyDescent="0.3">
      <c r="B21" s="480" t="s">
        <v>142</v>
      </c>
      <c r="D21" s="265" t="str">
        <f>+intern_Datenblatt!A25</f>
        <v>Fax</v>
      </c>
      <c r="E21" s="485" t="s">
        <v>431</v>
      </c>
      <c r="F21" s="484"/>
    </row>
    <row r="22" spans="2:6" ht="3.95" customHeight="1" x14ac:dyDescent="0.3">
      <c r="B22" s="480"/>
      <c r="D22" s="265"/>
      <c r="E22" s="266"/>
    </row>
    <row r="23" spans="2:6" ht="18.75" customHeight="1" x14ac:dyDescent="0.3">
      <c r="B23" s="480"/>
      <c r="D23" s="265" t="str">
        <f>+intern_Datenblatt!A73</f>
        <v>Website</v>
      </c>
      <c r="E23" s="488" t="s">
        <v>432</v>
      </c>
      <c r="F23" s="488"/>
    </row>
    <row r="24" spans="2:6" ht="3.95" customHeight="1" x14ac:dyDescent="0.3">
      <c r="B24" s="345"/>
      <c r="D24" s="265"/>
      <c r="E24" s="266"/>
    </row>
    <row r="25" spans="2:6" ht="18.75" customHeight="1" x14ac:dyDescent="0.3">
      <c r="B25" s="480" t="s">
        <v>151</v>
      </c>
      <c r="D25" s="265" t="str">
        <f>+intern_Datenblatt!A67</f>
        <v>UID-Nummer</v>
      </c>
      <c r="E25" s="484" t="s">
        <v>433</v>
      </c>
      <c r="F25" s="484"/>
    </row>
    <row r="26" spans="2:6" ht="3.95" customHeight="1" x14ac:dyDescent="0.3">
      <c r="B26" s="480"/>
      <c r="D26" s="265"/>
      <c r="E26" s="266"/>
    </row>
    <row r="27" spans="2:6" ht="18.75" customHeight="1" x14ac:dyDescent="0.3">
      <c r="B27" s="480"/>
      <c r="D27" s="265" t="str">
        <f>+intern_Datenblatt!A10</f>
        <v>Bank</v>
      </c>
      <c r="E27" s="486" t="s">
        <v>434</v>
      </c>
      <c r="F27" s="486"/>
    </row>
    <row r="28" spans="2:6" ht="3.95" customHeight="1" x14ac:dyDescent="0.3">
      <c r="B28" s="346"/>
      <c r="D28" s="265"/>
      <c r="E28" s="266"/>
    </row>
    <row r="29" spans="2:6" ht="18.75" customHeight="1" x14ac:dyDescent="0.3">
      <c r="B29" s="480" t="s">
        <v>204</v>
      </c>
      <c r="D29" s="265" t="str">
        <f>+intern_Datenblatt!A18</f>
        <v>BIC</v>
      </c>
      <c r="E29" s="486" t="s">
        <v>435</v>
      </c>
      <c r="F29" s="486"/>
    </row>
    <row r="30" spans="2:6" ht="3.95" customHeight="1" x14ac:dyDescent="0.3">
      <c r="B30" s="480"/>
      <c r="D30" s="265"/>
      <c r="E30" s="266"/>
    </row>
    <row r="31" spans="2:6" ht="18.75" customHeight="1" x14ac:dyDescent="0.3">
      <c r="B31" s="480"/>
      <c r="D31" s="265" t="str">
        <f>intern_Datenblatt!A33</f>
        <v>IBAN</v>
      </c>
      <c r="E31" s="486" t="s">
        <v>436</v>
      </c>
      <c r="F31" s="486"/>
    </row>
    <row r="32" spans="2:6" ht="3.95" customHeight="1" x14ac:dyDescent="0.3">
      <c r="B32" s="345"/>
      <c r="D32" s="265"/>
      <c r="E32" s="266"/>
    </row>
    <row r="33" spans="2:6" ht="18.75" customHeight="1" x14ac:dyDescent="0.3">
      <c r="B33" s="480" t="s">
        <v>214</v>
      </c>
      <c r="D33" s="263"/>
      <c r="E33" s="263"/>
    </row>
    <row r="34" spans="2:6" ht="3.95" customHeight="1" x14ac:dyDescent="0.3">
      <c r="B34" s="480"/>
      <c r="D34" s="263"/>
      <c r="E34" s="263"/>
    </row>
    <row r="35" spans="2:6" ht="18.75" customHeight="1" x14ac:dyDescent="0.3">
      <c r="B35" s="480"/>
      <c r="D35" s="263"/>
      <c r="E35" s="263"/>
    </row>
    <row r="36" spans="2:6" ht="3.95" customHeight="1" x14ac:dyDescent="0.3">
      <c r="B36" s="345"/>
    </row>
    <row r="37" spans="2:6" ht="19.5" customHeight="1" x14ac:dyDescent="0.3">
      <c r="B37" s="480" t="s">
        <v>230</v>
      </c>
      <c r="E37" s="481" t="s">
        <v>361</v>
      </c>
      <c r="F37" s="481"/>
    </row>
    <row r="38" spans="2:6" ht="3.95" customHeight="1" x14ac:dyDescent="0.3">
      <c r="B38" s="480"/>
      <c r="E38" s="481"/>
      <c r="F38" s="481"/>
    </row>
    <row r="39" spans="2:6" ht="19.5" customHeight="1" x14ac:dyDescent="0.3">
      <c r="B39" s="480"/>
      <c r="E39" s="481"/>
      <c r="F39" s="481"/>
    </row>
    <row r="40" spans="2:6" ht="3.95" customHeight="1" x14ac:dyDescent="0.3"/>
    <row r="41" spans="2:6" ht="19.5" customHeight="1" x14ac:dyDescent="0.3">
      <c r="B41" s="480"/>
      <c r="E41" s="482" t="s">
        <v>303</v>
      </c>
      <c r="F41" s="482"/>
    </row>
    <row r="42" spans="2:6" ht="3.95" customHeight="1" x14ac:dyDescent="0.3">
      <c r="B42" s="480"/>
      <c r="E42" s="482"/>
      <c r="F42" s="482"/>
    </row>
    <row r="43" spans="2:6" ht="19.5" customHeight="1" x14ac:dyDescent="0.3">
      <c r="B43" s="480"/>
      <c r="E43" s="482"/>
      <c r="F43" s="482"/>
    </row>
    <row r="44" spans="2:6" ht="3.95" customHeight="1" x14ac:dyDescent="0.3"/>
    <row r="45" spans="2:6" ht="19.5" customHeight="1" x14ac:dyDescent="0.3">
      <c r="B45" s="480"/>
      <c r="E45" s="481" t="s">
        <v>184</v>
      </c>
      <c r="F45" s="481"/>
    </row>
    <row r="46" spans="2:6" ht="3.95" customHeight="1" x14ac:dyDescent="0.3">
      <c r="B46" s="480"/>
      <c r="E46" s="481"/>
      <c r="F46" s="481"/>
    </row>
    <row r="47" spans="2:6" ht="19.5" customHeight="1" x14ac:dyDescent="0.3">
      <c r="B47" s="480"/>
      <c r="E47" s="481"/>
      <c r="F47" s="481"/>
    </row>
    <row r="48" spans="2:6" ht="3.95" customHeight="1" x14ac:dyDescent="0.3"/>
    <row r="49" spans="2:2" ht="19.5" customHeight="1" x14ac:dyDescent="0.3">
      <c r="B49" s="480"/>
    </row>
    <row r="50" spans="2:2" ht="3.95" customHeight="1" x14ac:dyDescent="0.3">
      <c r="B50" s="480"/>
    </row>
    <row r="51" spans="2:2" ht="19.5" customHeight="1" x14ac:dyDescent="0.3">
      <c r="B51" s="480"/>
    </row>
    <row r="52" spans="2:2" ht="3.95" customHeight="1" x14ac:dyDescent="0.3"/>
    <row r="53" spans="2:2" ht="19.5" customHeight="1" x14ac:dyDescent="0.3">
      <c r="B53" s="480"/>
    </row>
    <row r="54" spans="2:2" ht="3.95" customHeight="1" x14ac:dyDescent="0.3">
      <c r="B54" s="480"/>
    </row>
    <row r="55" spans="2:2" ht="19.5" customHeight="1" x14ac:dyDescent="0.3">
      <c r="B55" s="480"/>
    </row>
    <row r="56" spans="2:2" ht="3.95" customHeight="1" x14ac:dyDescent="0.3"/>
    <row r="57" spans="2:2" ht="19.5" customHeight="1" x14ac:dyDescent="0.3">
      <c r="B57" s="480"/>
    </row>
    <row r="58" spans="2:2" ht="3.95" customHeight="1" x14ac:dyDescent="0.3">
      <c r="B58" s="480"/>
    </row>
    <row r="59" spans="2:2" ht="19.5" customHeight="1" x14ac:dyDescent="0.3">
      <c r="B59" s="480"/>
    </row>
    <row r="60" spans="2:2" ht="3.95" customHeight="1" x14ac:dyDescent="0.3"/>
    <row r="61" spans="2:2" ht="19.5" customHeight="1" x14ac:dyDescent="0.3"/>
    <row r="62" spans="2:2" ht="3.95" customHeight="1" x14ac:dyDescent="0.3"/>
    <row r="63" spans="2:2" ht="19.5" customHeight="1" x14ac:dyDescent="0.3"/>
    <row r="64" spans="2:2" ht="3.95" customHeight="1" x14ac:dyDescent="0.3"/>
    <row r="65" ht="19.5" customHeight="1" x14ac:dyDescent="0.3"/>
    <row r="66" ht="3.95" customHeight="1" x14ac:dyDescent="0.3"/>
    <row r="67" ht="19.5" customHeight="1" x14ac:dyDescent="0.3"/>
    <row r="68" ht="3.95" customHeight="1" x14ac:dyDescent="0.3"/>
    <row r="69" ht="19.5" customHeight="1" x14ac:dyDescent="0.3"/>
    <row r="70" ht="3.95" customHeight="1" x14ac:dyDescent="0.3"/>
    <row r="71" ht="19.5" customHeight="1" x14ac:dyDescent="0.3"/>
    <row r="72" ht="3.95" customHeight="1" x14ac:dyDescent="0.3"/>
    <row r="73" ht="19.5" customHeight="1" x14ac:dyDescent="0.3"/>
    <row r="74" ht="3.95" customHeight="1" x14ac:dyDescent="0.3"/>
    <row r="75" ht="19.5" customHeight="1" x14ac:dyDescent="0.3"/>
    <row r="76" ht="3.95" customHeight="1" x14ac:dyDescent="0.3"/>
    <row r="77" ht="19.5" customHeight="1" x14ac:dyDescent="0.3"/>
    <row r="78" ht="3.95" customHeight="1" x14ac:dyDescent="0.3"/>
    <row r="79" ht="19.5" customHeight="1" x14ac:dyDescent="0.3"/>
    <row r="80" ht="3.95" customHeight="1" x14ac:dyDescent="0.3"/>
    <row r="81" ht="19.5" customHeight="1" x14ac:dyDescent="0.3"/>
    <row r="82" ht="3.95" customHeight="1" x14ac:dyDescent="0.3"/>
    <row r="83" ht="19.5" customHeight="1" x14ac:dyDescent="0.3"/>
    <row r="84" ht="3.95" customHeight="1" x14ac:dyDescent="0.3"/>
    <row r="85" ht="19.5" customHeight="1" x14ac:dyDescent="0.3"/>
    <row r="86" ht="3.95" customHeight="1" x14ac:dyDescent="0.3"/>
    <row r="87" ht="19.5" customHeight="1" x14ac:dyDescent="0.3"/>
    <row r="88" ht="3.95" customHeight="1" x14ac:dyDescent="0.3"/>
    <row r="89" ht="19.5" customHeight="1" x14ac:dyDescent="0.3"/>
    <row r="90" ht="3.95" customHeight="1" x14ac:dyDescent="0.3"/>
    <row r="91" ht="19.5" customHeight="1" x14ac:dyDescent="0.3"/>
    <row r="92" ht="3.95" customHeight="1" x14ac:dyDescent="0.3"/>
    <row r="93" ht="19.5" customHeight="1" x14ac:dyDescent="0.3"/>
    <row r="94" ht="3.95" customHeight="1" x14ac:dyDescent="0.3"/>
    <row r="95" ht="19.5" customHeight="1" x14ac:dyDescent="0.3"/>
    <row r="96" ht="3.95" customHeight="1" x14ac:dyDescent="0.3"/>
    <row r="97" ht="19.5" customHeight="1" x14ac:dyDescent="0.3"/>
    <row r="98" ht="3.95" customHeight="1" x14ac:dyDescent="0.3"/>
    <row r="99" ht="19.5" customHeight="1" x14ac:dyDescent="0.3"/>
    <row r="100" ht="3.95" customHeight="1" x14ac:dyDescent="0.3"/>
    <row r="101" ht="19.5" customHeight="1" x14ac:dyDescent="0.3"/>
    <row r="102" ht="3.95" customHeight="1" x14ac:dyDescent="0.3"/>
    <row r="103" ht="19.5" customHeight="1" x14ac:dyDescent="0.3"/>
    <row r="104" ht="3.95" customHeight="1" x14ac:dyDescent="0.3"/>
    <row r="105" ht="19.5" customHeight="1" x14ac:dyDescent="0.3"/>
    <row r="106" ht="3.95" customHeight="1" x14ac:dyDescent="0.3"/>
    <row r="107" ht="19.5" customHeight="1" x14ac:dyDescent="0.3"/>
    <row r="108" ht="3.95" customHeight="1" x14ac:dyDescent="0.3"/>
    <row r="109" ht="19.5" customHeight="1" x14ac:dyDescent="0.3"/>
    <row r="110" ht="3.95" customHeight="1" x14ac:dyDescent="0.3"/>
    <row r="111" ht="19.5" customHeight="1" x14ac:dyDescent="0.3"/>
    <row r="112" ht="3.95" customHeight="1" x14ac:dyDescent="0.3"/>
    <row r="113" ht="19.5" customHeight="1" x14ac:dyDescent="0.3"/>
    <row r="114" ht="3.95" customHeight="1" x14ac:dyDescent="0.3"/>
    <row r="115" ht="19.5" customHeight="1" x14ac:dyDescent="0.3"/>
    <row r="116" ht="3.95" customHeight="1" x14ac:dyDescent="0.3"/>
    <row r="117" ht="19.5" customHeight="1" x14ac:dyDescent="0.3"/>
    <row r="118" ht="3.95" customHeight="1" x14ac:dyDescent="0.3"/>
    <row r="119" ht="19.5" customHeight="1" x14ac:dyDescent="0.3"/>
    <row r="120" ht="3.95" customHeight="1" x14ac:dyDescent="0.3"/>
    <row r="121" ht="19.5" customHeight="1" x14ac:dyDescent="0.3"/>
    <row r="122" ht="3.95" customHeight="1" x14ac:dyDescent="0.3"/>
    <row r="123" ht="19.5" customHeight="1" x14ac:dyDescent="0.3"/>
    <row r="124" ht="3.95" customHeight="1" x14ac:dyDescent="0.3"/>
    <row r="125" ht="19.5" customHeight="1" x14ac:dyDescent="0.3"/>
    <row r="126" ht="3.95" customHeight="1" x14ac:dyDescent="0.3"/>
    <row r="127" ht="19.5" customHeight="1" x14ac:dyDescent="0.3"/>
    <row r="128" ht="3.95" customHeight="1" x14ac:dyDescent="0.3"/>
    <row r="129" ht="19.5" customHeight="1" x14ac:dyDescent="0.3"/>
    <row r="130" ht="3.95" customHeight="1" x14ac:dyDescent="0.3"/>
    <row r="131" ht="19.5" customHeight="1" x14ac:dyDescent="0.3"/>
    <row r="132" ht="3.95" customHeight="1" x14ac:dyDescent="0.3"/>
    <row r="133" ht="19.5" customHeight="1" x14ac:dyDescent="0.3"/>
    <row r="134" ht="3.95" customHeight="1" x14ac:dyDescent="0.3"/>
    <row r="135" ht="19.5" customHeight="1" x14ac:dyDescent="0.3"/>
    <row r="136" ht="3.95" customHeight="1" x14ac:dyDescent="0.3"/>
    <row r="137" ht="19.5" customHeight="1" x14ac:dyDescent="0.3"/>
    <row r="138" ht="3.95" customHeight="1" x14ac:dyDescent="0.3"/>
    <row r="139" ht="19.5" customHeight="1" x14ac:dyDescent="0.3"/>
    <row r="140" ht="3.95" customHeight="1" x14ac:dyDescent="0.3"/>
    <row r="141" ht="19.5" customHeight="1" x14ac:dyDescent="0.3"/>
    <row r="142" ht="3.95" customHeight="1" x14ac:dyDescent="0.3"/>
    <row r="143" ht="19.5" customHeight="1" x14ac:dyDescent="0.3"/>
    <row r="144" ht="3.95" customHeight="1" x14ac:dyDescent="0.3"/>
    <row r="145" ht="19.5" customHeight="1" x14ac:dyDescent="0.3"/>
    <row r="146" ht="3.95" customHeight="1" x14ac:dyDescent="0.3"/>
    <row r="147" ht="19.5" customHeight="1" x14ac:dyDescent="0.3"/>
    <row r="148" ht="3.95" customHeight="1" x14ac:dyDescent="0.3"/>
    <row r="149" ht="19.5" customHeight="1" x14ac:dyDescent="0.3"/>
    <row r="150" ht="3.95" customHeight="1" x14ac:dyDescent="0.3"/>
    <row r="151" ht="19.5" customHeight="1" x14ac:dyDescent="0.3"/>
    <row r="152" ht="3.95" customHeight="1" x14ac:dyDescent="0.3"/>
    <row r="153" ht="19.5" customHeight="1" x14ac:dyDescent="0.3"/>
    <row r="154" ht="3.95" customHeight="1" x14ac:dyDescent="0.3"/>
    <row r="155" ht="19.5" customHeight="1" x14ac:dyDescent="0.3"/>
    <row r="156" ht="3.95" customHeight="1" x14ac:dyDescent="0.3"/>
    <row r="157" ht="19.5" customHeight="1" x14ac:dyDescent="0.3"/>
    <row r="158" ht="3.95" customHeight="1" x14ac:dyDescent="0.3"/>
    <row r="159" ht="19.5" customHeight="1" x14ac:dyDescent="0.3"/>
    <row r="160" ht="3.95" customHeight="1" x14ac:dyDescent="0.3"/>
    <row r="161" ht="19.5" customHeight="1" x14ac:dyDescent="0.3"/>
    <row r="162" ht="3.95" customHeight="1" x14ac:dyDescent="0.3"/>
    <row r="163" ht="19.5" customHeight="1" x14ac:dyDescent="0.3"/>
    <row r="164" ht="3.95" customHeight="1" x14ac:dyDescent="0.3"/>
    <row r="165" ht="19.5" customHeight="1" x14ac:dyDescent="0.3"/>
    <row r="166" ht="3.95" customHeight="1" x14ac:dyDescent="0.3"/>
    <row r="167" ht="19.5" customHeight="1" x14ac:dyDescent="0.3"/>
    <row r="168" ht="3.95" customHeight="1" x14ac:dyDescent="0.3"/>
    <row r="169" ht="19.5" customHeight="1" x14ac:dyDescent="0.3"/>
    <row r="170" ht="3.95" customHeight="1" x14ac:dyDescent="0.3"/>
    <row r="171" ht="19.5" customHeight="1" x14ac:dyDescent="0.3"/>
    <row r="172" ht="3.95" customHeight="1" x14ac:dyDescent="0.3"/>
    <row r="173" ht="19.5" customHeight="1" x14ac:dyDescent="0.3"/>
    <row r="174" ht="3.95" customHeight="1" x14ac:dyDescent="0.3"/>
    <row r="175" ht="19.5" customHeight="1" x14ac:dyDescent="0.3"/>
    <row r="176" ht="3.95" customHeight="1" x14ac:dyDescent="0.3"/>
    <row r="177" ht="19.5" customHeight="1" x14ac:dyDescent="0.3"/>
    <row r="178" ht="3.95" customHeight="1" x14ac:dyDescent="0.3"/>
    <row r="179" ht="19.5" customHeight="1" x14ac:dyDescent="0.3"/>
    <row r="180" ht="3.95" customHeight="1" x14ac:dyDescent="0.3"/>
    <row r="181" ht="19.5" customHeight="1" x14ac:dyDescent="0.3"/>
    <row r="182" ht="3.95" customHeight="1" x14ac:dyDescent="0.3"/>
    <row r="183" ht="19.5" customHeight="1" x14ac:dyDescent="0.3"/>
    <row r="184" ht="3.95" customHeight="1" x14ac:dyDescent="0.3"/>
    <row r="185" ht="19.5" customHeight="1" x14ac:dyDescent="0.3"/>
    <row r="186" ht="3.95" customHeight="1" x14ac:dyDescent="0.3"/>
    <row r="187" ht="19.5" customHeight="1" x14ac:dyDescent="0.3"/>
    <row r="188" ht="3.95" customHeight="1" x14ac:dyDescent="0.3"/>
    <row r="189" ht="19.5" customHeight="1" x14ac:dyDescent="0.3"/>
    <row r="190" ht="3.95" customHeight="1" x14ac:dyDescent="0.3"/>
    <row r="191" ht="19.5" customHeight="1" x14ac:dyDescent="0.3"/>
    <row r="192" ht="3.95" customHeight="1" x14ac:dyDescent="0.3"/>
    <row r="193" ht="19.5" customHeight="1" x14ac:dyDescent="0.3"/>
    <row r="194" ht="3.95" customHeight="1" x14ac:dyDescent="0.3"/>
    <row r="195" ht="19.5" customHeight="1" x14ac:dyDescent="0.3"/>
    <row r="196" ht="3.95" customHeight="1" x14ac:dyDescent="0.3"/>
    <row r="197" ht="19.5" customHeight="1" x14ac:dyDescent="0.3"/>
    <row r="198" ht="3.95" customHeight="1" x14ac:dyDescent="0.3"/>
    <row r="199" ht="19.5" customHeight="1" x14ac:dyDescent="0.3"/>
    <row r="200" ht="3.95" customHeight="1" x14ac:dyDescent="0.3"/>
    <row r="201" ht="19.5" customHeight="1" x14ac:dyDescent="0.3"/>
    <row r="202" ht="3.95" customHeight="1" x14ac:dyDescent="0.3"/>
    <row r="203" ht="19.5" customHeight="1" x14ac:dyDescent="0.3"/>
    <row r="204" ht="3.95" customHeight="1" x14ac:dyDescent="0.3"/>
    <row r="205" ht="19.5" customHeight="1" x14ac:dyDescent="0.3"/>
    <row r="206" ht="3.95" customHeight="1" x14ac:dyDescent="0.3"/>
    <row r="207" ht="19.5" customHeight="1" x14ac:dyDescent="0.3"/>
    <row r="208" ht="3.95" customHeight="1" x14ac:dyDescent="0.3"/>
    <row r="209" ht="19.5" customHeight="1" x14ac:dyDescent="0.3"/>
    <row r="210" ht="3.95" customHeight="1" x14ac:dyDescent="0.3"/>
    <row r="211" ht="19.5" customHeight="1" x14ac:dyDescent="0.3"/>
    <row r="212" ht="3.95" customHeight="1" x14ac:dyDescent="0.3"/>
    <row r="213" ht="19.5" customHeight="1" x14ac:dyDescent="0.3"/>
    <row r="214" ht="3.95" customHeight="1" x14ac:dyDescent="0.3"/>
    <row r="215" ht="19.5" customHeight="1" x14ac:dyDescent="0.3"/>
    <row r="216" ht="3.95" customHeight="1" x14ac:dyDescent="0.3"/>
    <row r="217" ht="19.5" customHeight="1" x14ac:dyDescent="0.3"/>
    <row r="218" ht="3.95" customHeight="1" x14ac:dyDescent="0.3"/>
    <row r="219" ht="19.5" customHeight="1" x14ac:dyDescent="0.3"/>
    <row r="220" ht="3.95" customHeight="1" x14ac:dyDescent="0.3"/>
    <row r="221" ht="19.5" customHeight="1" x14ac:dyDescent="0.3"/>
    <row r="222" ht="3.95" customHeight="1" x14ac:dyDescent="0.3"/>
    <row r="223" ht="19.5" customHeight="1" x14ac:dyDescent="0.3"/>
    <row r="224" ht="3.95" customHeight="1" x14ac:dyDescent="0.3"/>
    <row r="225" ht="19.5" customHeight="1" x14ac:dyDescent="0.3"/>
    <row r="226" ht="3.95" customHeight="1" x14ac:dyDescent="0.3"/>
    <row r="227" ht="19.5" customHeight="1" x14ac:dyDescent="0.3"/>
    <row r="228" ht="3.95" customHeight="1" x14ac:dyDescent="0.3"/>
    <row r="229" ht="19.5" customHeight="1" x14ac:dyDescent="0.3"/>
    <row r="230" ht="3.95" customHeight="1" x14ac:dyDescent="0.3"/>
    <row r="231" ht="19.5" customHeight="1" x14ac:dyDescent="0.3"/>
    <row r="232" ht="3.95" customHeight="1" x14ac:dyDescent="0.3"/>
    <row r="233" ht="19.5" customHeight="1" x14ac:dyDescent="0.3"/>
    <row r="234" ht="3.95" customHeight="1" x14ac:dyDescent="0.3"/>
    <row r="235" ht="19.5" customHeight="1" x14ac:dyDescent="0.3"/>
    <row r="236" ht="3.95" customHeight="1" x14ac:dyDescent="0.3"/>
    <row r="237" ht="19.5" customHeight="1" x14ac:dyDescent="0.3"/>
    <row r="238" ht="3.95" customHeight="1" x14ac:dyDescent="0.3"/>
    <row r="239" ht="19.5" customHeight="1" x14ac:dyDescent="0.3"/>
    <row r="240" ht="3.95" customHeight="1" x14ac:dyDescent="0.3"/>
    <row r="241" ht="19.5" customHeight="1" x14ac:dyDescent="0.3"/>
    <row r="242" ht="3.95" customHeight="1" x14ac:dyDescent="0.3"/>
    <row r="243" ht="19.5" customHeight="1" x14ac:dyDescent="0.3"/>
    <row r="244" ht="3.95" customHeight="1" x14ac:dyDescent="0.3"/>
    <row r="245" ht="19.5" customHeight="1" x14ac:dyDescent="0.3"/>
    <row r="246" ht="3.95" customHeight="1" x14ac:dyDescent="0.3"/>
    <row r="247" ht="19.5" customHeight="1" x14ac:dyDescent="0.3"/>
    <row r="248" ht="3.95" customHeight="1" x14ac:dyDescent="0.3"/>
    <row r="249" ht="19.5" customHeight="1" x14ac:dyDescent="0.3"/>
    <row r="250" ht="3.95" customHeight="1" x14ac:dyDescent="0.3"/>
    <row r="251" ht="19.5" customHeight="1" x14ac:dyDescent="0.3"/>
    <row r="252" ht="3.95" customHeight="1" x14ac:dyDescent="0.3"/>
    <row r="253" ht="19.5" customHeight="1" x14ac:dyDescent="0.3"/>
    <row r="254" ht="3.95" customHeight="1" x14ac:dyDescent="0.3"/>
    <row r="255" ht="19.5" customHeight="1" x14ac:dyDescent="0.3"/>
    <row r="256" ht="3.95" customHeight="1" x14ac:dyDescent="0.3"/>
    <row r="257" ht="19.5" customHeight="1" x14ac:dyDescent="0.3"/>
    <row r="258" ht="3.95" customHeight="1" x14ac:dyDescent="0.3"/>
    <row r="259" ht="19.5" customHeight="1" x14ac:dyDescent="0.3"/>
    <row r="260" ht="3.95" customHeight="1" x14ac:dyDescent="0.3"/>
    <row r="261" ht="19.5" customHeight="1" x14ac:dyDescent="0.3"/>
    <row r="262" ht="3.95" customHeight="1" x14ac:dyDescent="0.3"/>
    <row r="263" ht="19.5" customHeight="1" x14ac:dyDescent="0.3"/>
    <row r="264" ht="3.95" customHeight="1" x14ac:dyDescent="0.3"/>
    <row r="265" ht="19.5" customHeight="1" x14ac:dyDescent="0.3"/>
    <row r="266" ht="3.95" customHeight="1" x14ac:dyDescent="0.3"/>
    <row r="267" ht="19.5" customHeight="1" x14ac:dyDescent="0.3"/>
    <row r="268" ht="3.95" customHeight="1" x14ac:dyDescent="0.3"/>
    <row r="269" ht="19.5" customHeight="1" x14ac:dyDescent="0.3"/>
    <row r="270" ht="3.95" customHeight="1" x14ac:dyDescent="0.3"/>
    <row r="271" ht="19.5" customHeight="1" x14ac:dyDescent="0.3"/>
    <row r="272" ht="3.95" customHeight="1" x14ac:dyDescent="0.3"/>
    <row r="273" ht="19.5" customHeight="1" x14ac:dyDescent="0.3"/>
    <row r="274" ht="3.95" customHeight="1" x14ac:dyDescent="0.3"/>
    <row r="275" ht="19.5" customHeight="1" x14ac:dyDescent="0.3"/>
    <row r="276" ht="3.95" customHeight="1" x14ac:dyDescent="0.3"/>
    <row r="277" ht="19.5" customHeight="1" x14ac:dyDescent="0.3"/>
    <row r="278" ht="3.95" customHeight="1" x14ac:dyDescent="0.3"/>
    <row r="279" ht="19.5" customHeight="1" x14ac:dyDescent="0.3"/>
    <row r="280" ht="3.95" customHeight="1" x14ac:dyDescent="0.3"/>
    <row r="281" ht="19.5" customHeight="1" x14ac:dyDescent="0.3"/>
    <row r="282" ht="3.95" customHeight="1" x14ac:dyDescent="0.3"/>
    <row r="283" ht="19.5" customHeight="1" x14ac:dyDescent="0.3"/>
    <row r="284" ht="3.95" customHeight="1" x14ac:dyDescent="0.3"/>
    <row r="285" ht="19.5" customHeight="1" x14ac:dyDescent="0.3"/>
    <row r="286" ht="3.95" customHeight="1" x14ac:dyDescent="0.3"/>
    <row r="287" ht="19.5" customHeight="1" x14ac:dyDescent="0.3"/>
    <row r="288" ht="3.95" customHeight="1" x14ac:dyDescent="0.3"/>
    <row r="289" ht="19.5" customHeight="1" x14ac:dyDescent="0.3"/>
    <row r="290" ht="3.95" customHeight="1" x14ac:dyDescent="0.3"/>
    <row r="291" ht="19.5" customHeight="1" x14ac:dyDescent="0.3"/>
    <row r="292" ht="3.95" customHeight="1" x14ac:dyDescent="0.3"/>
    <row r="293" ht="19.5" customHeight="1" x14ac:dyDescent="0.3"/>
    <row r="294" ht="3.95" customHeight="1" x14ac:dyDescent="0.3"/>
    <row r="295" ht="19.5" customHeight="1" x14ac:dyDescent="0.3"/>
    <row r="296" ht="3.95" customHeight="1" x14ac:dyDescent="0.3"/>
    <row r="297" ht="19.5" customHeight="1" x14ac:dyDescent="0.3"/>
    <row r="298" ht="3.95" customHeight="1" x14ac:dyDescent="0.3"/>
    <row r="299" ht="19.5" customHeight="1" x14ac:dyDescent="0.3"/>
    <row r="300" ht="3.95" customHeight="1" x14ac:dyDescent="0.3"/>
    <row r="301" ht="19.5" customHeight="1" x14ac:dyDescent="0.3"/>
    <row r="302" ht="3.95" customHeight="1" x14ac:dyDescent="0.3"/>
    <row r="303" ht="19.5" customHeight="1" x14ac:dyDescent="0.3"/>
    <row r="304" ht="3.95" customHeight="1" x14ac:dyDescent="0.3"/>
    <row r="305" ht="19.5" customHeight="1" x14ac:dyDescent="0.3"/>
    <row r="306" ht="3.95" customHeight="1" x14ac:dyDescent="0.3"/>
    <row r="307" ht="19.5" customHeight="1" x14ac:dyDescent="0.3"/>
    <row r="308" ht="3.95" customHeight="1" x14ac:dyDescent="0.3"/>
    <row r="309" ht="19.5" customHeight="1" x14ac:dyDescent="0.3"/>
    <row r="310" ht="3.95" customHeight="1" x14ac:dyDescent="0.3"/>
    <row r="311" ht="19.5" customHeight="1" x14ac:dyDescent="0.3"/>
    <row r="312" ht="3.95" customHeight="1" x14ac:dyDescent="0.3"/>
    <row r="313" ht="19.5" customHeight="1" x14ac:dyDescent="0.3"/>
    <row r="314" ht="3.95" customHeight="1" x14ac:dyDescent="0.3"/>
    <row r="315" ht="19.5" customHeight="1" x14ac:dyDescent="0.3"/>
    <row r="316" ht="3.95" customHeight="1" x14ac:dyDescent="0.3"/>
    <row r="317" ht="19.5" customHeight="1" x14ac:dyDescent="0.3"/>
    <row r="318" ht="3.95" customHeight="1" x14ac:dyDescent="0.3"/>
    <row r="319" ht="19.5" customHeight="1" x14ac:dyDescent="0.3"/>
    <row r="320" ht="3.95" customHeight="1" x14ac:dyDescent="0.3"/>
    <row r="321" ht="19.5" customHeight="1" x14ac:dyDescent="0.3"/>
    <row r="322" ht="3.95" customHeight="1" x14ac:dyDescent="0.3"/>
    <row r="323" ht="19.5" customHeight="1" x14ac:dyDescent="0.3"/>
    <row r="324" ht="3.95" customHeight="1" x14ac:dyDescent="0.3"/>
    <row r="325" ht="19.5" customHeight="1" x14ac:dyDescent="0.3"/>
    <row r="326" ht="3.95" customHeight="1" x14ac:dyDescent="0.3"/>
    <row r="327" ht="19.5" customHeight="1" x14ac:dyDescent="0.3"/>
    <row r="328" ht="3.95" customHeight="1" x14ac:dyDescent="0.3"/>
    <row r="329" ht="19.5" customHeight="1" x14ac:dyDescent="0.3"/>
    <row r="330" ht="3.95" customHeight="1" x14ac:dyDescent="0.3"/>
    <row r="331" ht="19.5" customHeight="1" x14ac:dyDescent="0.3"/>
    <row r="332" ht="3.95" customHeight="1" x14ac:dyDescent="0.3"/>
    <row r="333" ht="19.5" customHeight="1" x14ac:dyDescent="0.3"/>
    <row r="334" ht="3.95" customHeight="1" x14ac:dyDescent="0.3"/>
    <row r="335" ht="19.5" customHeight="1" x14ac:dyDescent="0.3"/>
    <row r="336" ht="3.95" customHeight="1" x14ac:dyDescent="0.3"/>
    <row r="337" ht="19.5" customHeight="1" x14ac:dyDescent="0.3"/>
    <row r="338" ht="3.95" customHeight="1" x14ac:dyDescent="0.3"/>
    <row r="339" ht="19.5" customHeight="1" x14ac:dyDescent="0.3"/>
    <row r="340" ht="3.95" customHeight="1" x14ac:dyDescent="0.3"/>
    <row r="341" ht="19.5" customHeight="1" x14ac:dyDescent="0.3"/>
    <row r="342" ht="3.95" customHeight="1" x14ac:dyDescent="0.3"/>
    <row r="343" ht="19.5" customHeight="1" x14ac:dyDescent="0.3"/>
    <row r="344" ht="3.95" customHeight="1" x14ac:dyDescent="0.3"/>
    <row r="345" ht="19.5" customHeight="1" x14ac:dyDescent="0.3"/>
    <row r="346" ht="3.95" customHeight="1" x14ac:dyDescent="0.3"/>
    <row r="347" ht="19.5" customHeight="1" x14ac:dyDescent="0.3"/>
    <row r="348" ht="3.95" customHeight="1" x14ac:dyDescent="0.3"/>
    <row r="349" ht="19.5" customHeight="1" x14ac:dyDescent="0.3"/>
    <row r="350" ht="3.95" customHeight="1" x14ac:dyDescent="0.3"/>
    <row r="351" ht="19.5" customHeight="1" x14ac:dyDescent="0.3"/>
    <row r="352" ht="3.95" customHeight="1" x14ac:dyDescent="0.3"/>
    <row r="353" ht="19.5" customHeight="1" x14ac:dyDescent="0.3"/>
    <row r="354" ht="3.95" customHeight="1" x14ac:dyDescent="0.3"/>
    <row r="355" ht="19.5" customHeight="1" x14ac:dyDescent="0.3"/>
    <row r="356" ht="3.95" customHeight="1" x14ac:dyDescent="0.3"/>
    <row r="357" ht="19.5" customHeight="1" x14ac:dyDescent="0.3"/>
    <row r="358" ht="3.95" customHeight="1" x14ac:dyDescent="0.3"/>
    <row r="359" ht="19.5" customHeight="1" x14ac:dyDescent="0.3"/>
    <row r="360" ht="3.95" customHeight="1" x14ac:dyDescent="0.3"/>
    <row r="361" ht="19.5" customHeight="1" x14ac:dyDescent="0.3"/>
    <row r="362" ht="3.95" customHeight="1" x14ac:dyDescent="0.3"/>
    <row r="363" ht="19.5" customHeight="1" x14ac:dyDescent="0.3"/>
    <row r="364" ht="3.95" customHeight="1" x14ac:dyDescent="0.3"/>
    <row r="365" ht="19.5" customHeight="1" x14ac:dyDescent="0.3"/>
    <row r="366" ht="3.95" customHeight="1" x14ac:dyDescent="0.3"/>
    <row r="367" ht="19.5" customHeight="1" x14ac:dyDescent="0.3"/>
    <row r="368" ht="3.95" customHeight="1" x14ac:dyDescent="0.3"/>
    <row r="369" ht="19.5" customHeight="1" x14ac:dyDescent="0.3"/>
    <row r="370" ht="3.95" customHeight="1" x14ac:dyDescent="0.3"/>
    <row r="371" ht="19.5" customHeight="1" x14ac:dyDescent="0.3"/>
    <row r="372" ht="3.95" customHeight="1" x14ac:dyDescent="0.3"/>
    <row r="373" ht="19.5" customHeight="1" x14ac:dyDescent="0.3"/>
    <row r="374" ht="3.95" customHeight="1" x14ac:dyDescent="0.3"/>
    <row r="375" ht="19.5" customHeight="1" x14ac:dyDescent="0.3"/>
    <row r="376" ht="3.95" customHeight="1" x14ac:dyDescent="0.3"/>
    <row r="377" ht="19.5" customHeight="1" x14ac:dyDescent="0.3"/>
    <row r="378" ht="3.95" customHeight="1" x14ac:dyDescent="0.3"/>
    <row r="379" ht="19.5" customHeight="1" x14ac:dyDescent="0.3"/>
    <row r="380" ht="3.95" customHeight="1" x14ac:dyDescent="0.3"/>
    <row r="381" ht="19.5" customHeight="1" x14ac:dyDescent="0.3"/>
    <row r="382" ht="3.95" customHeight="1" x14ac:dyDescent="0.3"/>
    <row r="383" ht="19.5" customHeight="1" x14ac:dyDescent="0.3"/>
    <row r="384" ht="3.95" customHeight="1" x14ac:dyDescent="0.3"/>
    <row r="385" ht="19.5" customHeight="1" x14ac:dyDescent="0.3"/>
    <row r="386" ht="3.95" customHeight="1" x14ac:dyDescent="0.3"/>
    <row r="387" ht="19.5" customHeight="1" x14ac:dyDescent="0.3"/>
    <row r="388" ht="3.95" customHeight="1" x14ac:dyDescent="0.3"/>
    <row r="389" ht="19.5" customHeight="1" x14ac:dyDescent="0.3"/>
    <row r="390" ht="3.95" customHeight="1" x14ac:dyDescent="0.3"/>
    <row r="391" ht="19.5" customHeight="1" x14ac:dyDescent="0.3"/>
    <row r="392" ht="3.95" customHeight="1" x14ac:dyDescent="0.3"/>
    <row r="393" ht="19.5" customHeight="1" x14ac:dyDescent="0.3"/>
    <row r="394" ht="3.95" customHeight="1" x14ac:dyDescent="0.3"/>
    <row r="395" ht="19.5" customHeight="1" x14ac:dyDescent="0.3"/>
    <row r="396" ht="3.95" customHeight="1" x14ac:dyDescent="0.3"/>
    <row r="397" ht="19.5" customHeight="1" x14ac:dyDescent="0.3"/>
    <row r="398" ht="3.95" customHeight="1" x14ac:dyDescent="0.3"/>
    <row r="399" ht="19.5" customHeight="1" x14ac:dyDescent="0.3"/>
    <row r="400" ht="3.95" customHeight="1" x14ac:dyDescent="0.3"/>
    <row r="401" ht="19.5" customHeight="1" x14ac:dyDescent="0.3"/>
    <row r="402" ht="3.95" customHeight="1" x14ac:dyDescent="0.3"/>
    <row r="403" ht="19.5" customHeight="1" x14ac:dyDescent="0.3"/>
  </sheetData>
  <sheetProtection algorithmName="SHA-512" hashValue="kvPcpU71KEtcI5/wMA6+nm2NlcmsQKbNvWsT1yRdXet/uoUdhLi9kKBquIjocx5GrEoECjRPH/0GaXfVhhvVXQ==" saltValue="gh23kCxGytCpxUTw4BIIug==" spinCount="100000" sheet="1" objects="1" scenarios="1" selectLockedCells="1"/>
  <mergeCells count="31">
    <mergeCell ref="B53:B55"/>
    <mergeCell ref="B57:B59"/>
    <mergeCell ref="B33:B35"/>
    <mergeCell ref="B37:B39"/>
    <mergeCell ref="B41:B43"/>
    <mergeCell ref="B45:B47"/>
    <mergeCell ref="B49:B51"/>
    <mergeCell ref="E29:F29"/>
    <mergeCell ref="E31:F31"/>
    <mergeCell ref="D7:F7"/>
    <mergeCell ref="B17:B19"/>
    <mergeCell ref="B9:B11"/>
    <mergeCell ref="E21:F21"/>
    <mergeCell ref="E23:F23"/>
    <mergeCell ref="E25:F25"/>
    <mergeCell ref="B4:E4"/>
    <mergeCell ref="B13:B15"/>
    <mergeCell ref="E37:F39"/>
    <mergeCell ref="E41:F43"/>
    <mergeCell ref="E45:F47"/>
    <mergeCell ref="D5:E5"/>
    <mergeCell ref="B29:B31"/>
    <mergeCell ref="B25:B27"/>
    <mergeCell ref="B21:B23"/>
    <mergeCell ref="E9:F9"/>
    <mergeCell ref="E11:F11"/>
    <mergeCell ref="E13:F13"/>
    <mergeCell ref="E15:F15"/>
    <mergeCell ref="E17:F17"/>
    <mergeCell ref="E19:F19"/>
    <mergeCell ref="E27:F27"/>
  </mergeCells>
  <dataValidations xWindow="895" yWindow="862" count="1">
    <dataValidation allowBlank="1" showInputMessage="1" showErrorMessage="1" prompt="Bitte geben Sie den IBAN ohne Leerzeichen ein." sqref="E31:E32"/>
  </dataValidations>
  <hyperlinks>
    <hyperlink ref="B17" location="Beleg08!A1" display="Kassa EIN-AUS"/>
    <hyperlink ref="B13" location="Beleg07!A1" display="Beleg07!A1"/>
    <hyperlink ref="B9" location="Beleg06!A1" display="Postgebühren"/>
    <hyperlink ref="B21:B23" location="'Büro-Discount'!A1" display="Büro-Diskont"/>
    <hyperlink ref="B9:B11" location="EMS!A1" display="Post - EMS Gebühr"/>
    <hyperlink ref="B13:B15" location="Trafik!A1" display="Trafik!A1"/>
    <hyperlink ref="B17:B19" location="'Kassa EIN-AUS'!A1" display="Kassa EIN-AUS"/>
    <hyperlink ref="B25" location="Beleg08!A1" display="Kassa EIN-AUS"/>
    <hyperlink ref="B25:B27" location="'Bank EIN-AUS'!A1" display="Bank EIN-AUS"/>
    <hyperlink ref="B29" location="Beleg08!A1" display="Kassa EIN-AUS"/>
    <hyperlink ref="B29:B31" location="Zahlungsanweisung!A1" display="Zahlungsanweisung"/>
    <hyperlink ref="E37" location="Beleg08!A1" display="Kassa EIN-AUS"/>
    <hyperlink ref="E37:E39" location="'Kontakt und Impressum'!A1" display="Kontakt &amp; Impressum"/>
    <hyperlink ref="B33" location="Beleg08!A1" display="Kassa EIN-AUS"/>
    <hyperlink ref="B33:B35" location="Telefon!A1" display="Telefon"/>
    <hyperlink ref="B37" location="Beleg08!A1" display="Kassa EIN-AUS"/>
    <hyperlink ref="B37:B39" location="Telefon!A1" display="Telefon"/>
    <hyperlink ref="E45:E47" location="'Kontakt und Impressum'!A1" display="Kontakt &amp; Impressum"/>
    <hyperlink ref="E45" location="Beleg08!A1" display="Kassa EIN-AUS"/>
  </hyperlinks>
  <pageMargins left="0.70866141732283472" right="0.70866141732283472" top="0.78740157480314965" bottom="0.78740157480314965" header="0.31496062992125984" footer="0.31496062992125984"/>
  <pageSetup paperSize="9" orientation="portrait" horizontalDpi="300" verticalDpi="300" r:id="rId1"/>
  <colBreaks count="1" manualBreakCount="1">
    <brk id="3" max="18" man="1"/>
  </col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7">
    <pageSetUpPr fitToPage="1"/>
  </sheetPr>
  <dimension ref="A1:N38"/>
  <sheetViews>
    <sheetView showGridLines="0" showRowColHeaders="0" zoomScaleNormal="100" zoomScaleSheetLayoutView="90" workbookViewId="0">
      <selection activeCell="K3" sqref="K3"/>
    </sheetView>
  </sheetViews>
  <sheetFormatPr baseColWidth="10" defaultRowHeight="15" x14ac:dyDescent="0.3"/>
  <cols>
    <col min="1" max="1" width="2.85546875" style="10" customWidth="1"/>
    <col min="2" max="2" width="2.42578125" style="119" customWidth="1"/>
    <col min="3" max="3" width="3.5703125" style="119" customWidth="1"/>
    <col min="4" max="4" width="15.28515625" style="119" bestFit="1" customWidth="1"/>
    <col min="5" max="5" width="5.7109375" style="119" customWidth="1"/>
    <col min="6" max="6" width="10.28515625" style="119" customWidth="1"/>
    <col min="7" max="7" width="4.28515625" style="119" bestFit="1" customWidth="1"/>
    <col min="8" max="8" width="2.42578125" style="119" customWidth="1"/>
    <col min="9" max="9" width="10.7109375" style="1" customWidth="1"/>
    <col min="10" max="10" width="25.140625" style="268" customWidth="1"/>
    <col min="11" max="11" width="37" style="269" customWidth="1"/>
    <col min="12" max="12" width="6.28515625" style="268" customWidth="1"/>
    <col min="13" max="13" width="34.7109375" style="268" customWidth="1"/>
    <col min="14" max="14" width="14.42578125" style="1" hidden="1" customWidth="1"/>
    <col min="15" max="16384" width="11.42578125" style="1"/>
  </cols>
  <sheetData>
    <row r="1" spans="2:14" ht="30" customHeight="1" x14ac:dyDescent="0.35">
      <c r="J1" s="503" t="str">
        <f>intern_Datenblatt!B1</f>
        <v>Verändern Sie hier den Beleg:</v>
      </c>
      <c r="K1" s="503"/>
      <c r="L1" s="339"/>
      <c r="M1" s="500" t="str">
        <f>intern_Datenblatt!B3</f>
        <v>Zurück zur Belegverwaltung</v>
      </c>
    </row>
    <row r="2" spans="2:14" ht="14.25" customHeight="1" x14ac:dyDescent="0.3">
      <c r="B2" s="120"/>
      <c r="C2" s="121"/>
      <c r="D2" s="121"/>
      <c r="E2" s="121"/>
      <c r="F2" s="121"/>
      <c r="G2" s="121"/>
      <c r="H2" s="122"/>
      <c r="J2" s="339"/>
      <c r="K2" s="341"/>
      <c r="L2" s="339"/>
      <c r="M2" s="500"/>
    </row>
    <row r="3" spans="2:14" ht="15" customHeight="1" thickBot="1" x14ac:dyDescent="0.35">
      <c r="B3" s="123"/>
      <c r="C3" s="501" t="s">
        <v>134</v>
      </c>
      <c r="D3" s="501"/>
      <c r="E3" s="501"/>
      <c r="F3" s="501"/>
      <c r="G3" s="501"/>
      <c r="H3" s="124"/>
      <c r="J3" s="268" t="str">
        <f>+intern_Datenblatt!A67</f>
        <v>UID-Nummer</v>
      </c>
      <c r="K3" s="367" t="s">
        <v>23</v>
      </c>
    </row>
    <row r="4" spans="2:14" ht="15" customHeight="1" thickBot="1" x14ac:dyDescent="0.35">
      <c r="B4" s="123"/>
      <c r="C4" s="495" t="str">
        <f>+IF(K3="","",CONCATENATE(intern_Datenblatt!A68,": ",EMS!K3))</f>
        <v>UID-Nr.: ATU46674503</v>
      </c>
      <c r="D4" s="495"/>
      <c r="E4" s="495"/>
      <c r="F4" s="495"/>
      <c r="G4" s="495"/>
      <c r="H4" s="124"/>
      <c r="J4" s="268" t="str">
        <f>+intern_Datenblatt!A51</f>
        <v>PLZ und Ort</v>
      </c>
      <c r="K4" s="366" t="s">
        <v>429</v>
      </c>
    </row>
    <row r="5" spans="2:14" ht="15" customHeight="1" thickBot="1" x14ac:dyDescent="0.35">
      <c r="B5" s="123"/>
      <c r="C5" s="502" t="str">
        <f>IF(K4="","",K4)</f>
        <v>6020 Innsbruck</v>
      </c>
      <c r="D5" s="502"/>
      <c r="E5" s="502"/>
      <c r="F5" s="502"/>
      <c r="G5" s="502"/>
      <c r="H5" s="124"/>
      <c r="J5" s="268" t="str">
        <f>+intern_Datenblatt!A6</f>
        <v>Adresse</v>
      </c>
      <c r="K5" s="366" t="s">
        <v>437</v>
      </c>
      <c r="M5" s="407" t="str">
        <f>intern_Datenblatt!B4</f>
        <v>Beleg kopieren</v>
      </c>
    </row>
    <row r="6" spans="2:14" ht="15" customHeight="1" thickBot="1" x14ac:dyDescent="0.35">
      <c r="B6" s="123"/>
      <c r="C6" s="495" t="str">
        <f>IF(K5="","",K5)</f>
        <v>Gumppstraße 26</v>
      </c>
      <c r="D6" s="495"/>
      <c r="E6" s="495"/>
      <c r="F6" s="495"/>
      <c r="G6" s="495"/>
      <c r="H6" s="124"/>
      <c r="J6" s="268" t="str">
        <f>+intern_Datenblatt!A66</f>
        <v>Telefon</v>
      </c>
      <c r="K6" s="368" t="s">
        <v>438</v>
      </c>
    </row>
    <row r="7" spans="2:14" ht="15" customHeight="1" thickBot="1" x14ac:dyDescent="0.35">
      <c r="B7" s="123"/>
      <c r="C7" s="495" t="str">
        <f>IF(K6="","",CONCATENATE("Tel.: ",K6))</f>
        <v>Tel.: +43 577 677 - 6020</v>
      </c>
      <c r="D7" s="495"/>
      <c r="E7" s="495"/>
      <c r="F7" s="495"/>
      <c r="G7" s="495"/>
      <c r="H7" s="124"/>
      <c r="J7" s="268" t="str">
        <f>+intern_Datenblatt!A73</f>
        <v>Website</v>
      </c>
      <c r="K7" s="478" t="s">
        <v>439</v>
      </c>
    </row>
    <row r="8" spans="2:14" ht="15" customHeight="1" thickBot="1" x14ac:dyDescent="0.35">
      <c r="B8" s="123"/>
      <c r="C8" s="496" t="str">
        <f>IF(K7="","",CONCATENATE("Internet: ",K7))</f>
        <v>Internet: www.6020.post.at</v>
      </c>
      <c r="D8" s="496"/>
      <c r="E8" s="496"/>
      <c r="F8" s="496"/>
      <c r="G8" s="496"/>
      <c r="H8" s="124"/>
      <c r="J8" s="268" t="s">
        <v>24</v>
      </c>
      <c r="K8" s="363" t="s">
        <v>440</v>
      </c>
    </row>
    <row r="9" spans="2:14" ht="15" customHeight="1" thickBot="1" x14ac:dyDescent="0.35">
      <c r="B9" s="123"/>
      <c r="C9" s="125"/>
      <c r="D9" s="125"/>
      <c r="E9" s="125"/>
      <c r="F9" s="125"/>
      <c r="G9" s="125"/>
      <c r="H9" s="124"/>
      <c r="J9" s="268" t="str">
        <f>+intern_Datenblatt!A20</f>
        <v>Datum</v>
      </c>
      <c r="K9" s="359">
        <f ca="1">DATE(YEAR(TODAY()),12,2)</f>
        <v>44167</v>
      </c>
    </row>
    <row r="10" spans="2:14" ht="15" customHeight="1" thickBot="1" x14ac:dyDescent="0.35">
      <c r="B10" s="123"/>
      <c r="C10" s="125"/>
      <c r="D10" s="126"/>
      <c r="E10" s="126"/>
      <c r="F10" s="126"/>
      <c r="G10" s="125"/>
      <c r="H10" s="124"/>
      <c r="J10" s="268" t="str">
        <f>+intern_Datenblatt!A42</f>
        <v>Menge</v>
      </c>
      <c r="K10" s="350">
        <v>1</v>
      </c>
    </row>
    <row r="11" spans="2:14" ht="15" customHeight="1" x14ac:dyDescent="0.3">
      <c r="B11" s="123"/>
      <c r="C11" s="125"/>
      <c r="D11" s="127"/>
      <c r="E11" s="127"/>
      <c r="F11" s="127"/>
      <c r="G11" s="125"/>
      <c r="H11" s="124"/>
      <c r="J11" s="268" t="str">
        <f>+intern_Datenblatt!A17</f>
        <v>Bezeichnung</v>
      </c>
      <c r="K11" s="489" t="s">
        <v>27</v>
      </c>
    </row>
    <row r="12" spans="2:14" ht="15" customHeight="1" thickBot="1" x14ac:dyDescent="0.35">
      <c r="B12" s="123"/>
      <c r="C12" s="125"/>
      <c r="D12" s="126"/>
      <c r="E12" s="126"/>
      <c r="F12" s="126"/>
      <c r="G12" s="125"/>
      <c r="H12" s="124"/>
      <c r="K12" s="490"/>
    </row>
    <row r="13" spans="2:14" ht="15" customHeight="1" thickBot="1" x14ac:dyDescent="0.35">
      <c r="B13" s="123"/>
      <c r="C13" s="125"/>
      <c r="D13" s="125"/>
      <c r="E13" s="125"/>
      <c r="F13" s="125"/>
      <c r="G13" s="125"/>
      <c r="H13" s="124"/>
      <c r="J13" s="268" t="str">
        <f>+intern_Datenblatt!A16</f>
        <v>Betrag</v>
      </c>
      <c r="K13" s="355">
        <v>10.93</v>
      </c>
    </row>
    <row r="14" spans="2:14" ht="15" customHeight="1" thickBot="1" x14ac:dyDescent="0.35">
      <c r="B14" s="123"/>
      <c r="C14" s="497" t="s">
        <v>81</v>
      </c>
      <c r="D14" s="497"/>
      <c r="E14" s="210" t="s">
        <v>3</v>
      </c>
      <c r="F14" s="209">
        <f ca="1">IF(K9="","",K9)</f>
        <v>44167</v>
      </c>
      <c r="G14" s="203">
        <f ca="1">+RAND()*0.375+0.375</f>
        <v>0.67499672298836133</v>
      </c>
      <c r="H14" s="124"/>
      <c r="J14" s="268" t="s">
        <v>28</v>
      </c>
      <c r="K14" s="355">
        <v>0.17</v>
      </c>
      <c r="N14" s="10">
        <v>2</v>
      </c>
    </row>
    <row r="15" spans="2:14" ht="15" customHeight="1" x14ac:dyDescent="0.3">
      <c r="B15" s="123"/>
      <c r="C15" s="497" t="str">
        <f>IF(K8="","",K8)</f>
        <v>Herr Willi Pfeifer</v>
      </c>
      <c r="D15" s="497"/>
      <c r="E15" s="98"/>
      <c r="F15" s="98"/>
      <c r="G15" s="125"/>
      <c r="H15" s="124"/>
      <c r="J15" s="268" t="str">
        <f>+intern_Datenblatt!A52</f>
        <v>Postleitzahl</v>
      </c>
      <c r="K15" s="352">
        <v>1120</v>
      </c>
    </row>
    <row r="16" spans="2:14" ht="15" customHeight="1" x14ac:dyDescent="0.3">
      <c r="B16" s="123"/>
      <c r="C16" s="491" t="str">
        <f ca="1">CONCATENATE("Rechnung Nr.: ",LEFT(K4,4),RANDBETWEEN(1000000000,9999999999))</f>
        <v>Rechnung Nr.: 60202680303963</v>
      </c>
      <c r="D16" s="491"/>
      <c r="E16" s="491"/>
      <c r="F16" s="491"/>
      <c r="G16" s="491"/>
      <c r="H16" s="124"/>
    </row>
    <row r="17" spans="1:14" ht="15" customHeight="1" x14ac:dyDescent="0.3">
      <c r="B17" s="123"/>
      <c r="C17" s="491"/>
      <c r="D17" s="491"/>
      <c r="E17" s="491"/>
      <c r="F17" s="491"/>
      <c r="G17" s="491"/>
      <c r="H17" s="124"/>
    </row>
    <row r="18" spans="1:14" ht="15" customHeight="1" x14ac:dyDescent="0.3">
      <c r="B18" s="123"/>
      <c r="C18" s="108"/>
      <c r="D18" s="108"/>
      <c r="E18" s="98"/>
      <c r="F18" s="98"/>
      <c r="G18" s="125"/>
      <c r="H18" s="124"/>
    </row>
    <row r="19" spans="1:14" ht="15" customHeight="1" x14ac:dyDescent="0.3">
      <c r="B19" s="123"/>
      <c r="C19" s="102" t="s">
        <v>135</v>
      </c>
      <c r="D19" s="102" t="str">
        <f>+intern_Datenblatt!A17</f>
        <v>Bezeichnung</v>
      </c>
      <c r="E19" s="102"/>
      <c r="F19" s="132" t="str">
        <f>+intern_Datenblatt!A23</f>
        <v>EUR</v>
      </c>
      <c r="G19" s="131"/>
      <c r="H19" s="124"/>
    </row>
    <row r="20" spans="1:14" ht="15" customHeight="1" x14ac:dyDescent="0.3">
      <c r="B20" s="123"/>
      <c r="C20" s="205">
        <f>IF(K10="","",K10)</f>
        <v>1</v>
      </c>
      <c r="D20" s="492" t="str">
        <f>IF(K11="","",K11)</f>
        <v>EMS Inland, Österreich
bis 4 kg</v>
      </c>
      <c r="E20" s="98"/>
      <c r="F20" s="113">
        <f>IF(K13="","",K13)</f>
        <v>10.93</v>
      </c>
      <c r="G20" s="114">
        <f>IF(K13="","",2)</f>
        <v>2</v>
      </c>
      <c r="H20" s="115"/>
    </row>
    <row r="21" spans="1:14" x14ac:dyDescent="0.3">
      <c r="B21" s="123"/>
      <c r="C21" s="206"/>
      <c r="D21" s="492"/>
      <c r="E21" s="98"/>
      <c r="F21" s="113"/>
      <c r="G21" s="114"/>
      <c r="H21" s="115"/>
      <c r="N21" s="16">
        <v>2</v>
      </c>
    </row>
    <row r="22" spans="1:14" x14ac:dyDescent="0.3">
      <c r="B22" s="123"/>
      <c r="C22" s="108"/>
      <c r="D22" s="98" t="str">
        <f>IF(K14="","","LKW-Maut")</f>
        <v>LKW-Maut</v>
      </c>
      <c r="E22" s="98"/>
      <c r="F22" s="113">
        <f>IF(K14="","",K14)</f>
        <v>0.17</v>
      </c>
      <c r="G22" s="114">
        <f>IF(K14="","",2)</f>
        <v>2</v>
      </c>
      <c r="H22" s="115"/>
      <c r="N22" s="16">
        <v>0</v>
      </c>
    </row>
    <row r="23" spans="1:14" x14ac:dyDescent="0.3">
      <c r="B23" s="123"/>
      <c r="C23" s="108"/>
      <c r="D23" s="102" t="s">
        <v>29</v>
      </c>
      <c r="E23" s="98"/>
      <c r="F23" s="98"/>
      <c r="G23" s="125"/>
      <c r="H23" s="124"/>
    </row>
    <row r="24" spans="1:14" x14ac:dyDescent="0.3">
      <c r="B24" s="123"/>
      <c r="C24" s="108"/>
      <c r="D24" s="211">
        <f ca="1">RANDBETWEEN(10000000000000,99999999999999)</f>
        <v>35749602769730</v>
      </c>
      <c r="E24" s="116" t="s">
        <v>25</v>
      </c>
      <c r="F24" s="117">
        <f>+K15</f>
        <v>1120</v>
      </c>
      <c r="G24" s="125"/>
      <c r="H24" s="124"/>
      <c r="L24" s="284"/>
    </row>
    <row r="25" spans="1:14" x14ac:dyDescent="0.3">
      <c r="B25" s="123"/>
      <c r="C25" s="108"/>
      <c r="D25" s="98"/>
      <c r="E25" s="98"/>
      <c r="F25" s="98"/>
      <c r="G25" s="125"/>
      <c r="H25" s="124"/>
      <c r="J25" s="284"/>
      <c r="K25" s="285"/>
      <c r="L25" s="284"/>
    </row>
    <row r="26" spans="1:14" ht="13.5" customHeight="1" x14ac:dyDescent="0.3">
      <c r="B26" s="123"/>
      <c r="C26" s="108"/>
      <c r="D26" s="102" t="s">
        <v>30</v>
      </c>
      <c r="E26" s="102"/>
      <c r="F26" s="233">
        <f>SUM(F20:F22)</f>
        <v>11.1</v>
      </c>
      <c r="G26" s="125"/>
      <c r="H26" s="124"/>
      <c r="J26" s="284"/>
      <c r="K26" s="285"/>
    </row>
    <row r="27" spans="1:14" x14ac:dyDescent="0.3">
      <c r="B27" s="123"/>
      <c r="C27" s="108"/>
      <c r="D27" s="98"/>
      <c r="E27" s="98"/>
      <c r="F27" s="98"/>
      <c r="G27" s="125"/>
      <c r="H27" s="124"/>
    </row>
    <row r="28" spans="1:14" x14ac:dyDescent="0.3">
      <c r="B28" s="123"/>
      <c r="C28" s="133"/>
      <c r="D28" s="134" t="str">
        <f>CONCATENATE(G28*10, "% USt.")</f>
        <v>20% USt.</v>
      </c>
      <c r="E28" s="100">
        <f>(SUMIFS(F20:F22,G20:G22,G28))/1.2</f>
        <v>9.25</v>
      </c>
      <c r="F28" s="100">
        <f>+E28*G28/10</f>
        <v>1.85</v>
      </c>
      <c r="G28" s="135">
        <v>2</v>
      </c>
      <c r="H28" s="118"/>
    </row>
    <row r="29" spans="1:14" s="142" customFormat="1" ht="76.5" customHeight="1" x14ac:dyDescent="0.3">
      <c r="A29" s="138"/>
      <c r="B29" s="139"/>
      <c r="C29" s="140"/>
      <c r="D29" s="493" t="s">
        <v>136</v>
      </c>
      <c r="E29" s="494"/>
      <c r="F29" s="494"/>
      <c r="G29" s="136"/>
      <c r="H29" s="141"/>
      <c r="J29" s="268"/>
      <c r="K29" s="269"/>
      <c r="L29" s="268"/>
      <c r="M29" s="284"/>
    </row>
    <row r="30" spans="1:14" s="142" customFormat="1" ht="13.5" customHeight="1" x14ac:dyDescent="0.3">
      <c r="A30" s="138"/>
      <c r="B30" s="139"/>
      <c r="C30" s="140"/>
      <c r="D30" s="499" t="s">
        <v>138</v>
      </c>
      <c r="E30" s="499"/>
      <c r="F30" s="499"/>
      <c r="G30" s="103"/>
      <c r="H30" s="141"/>
      <c r="J30" s="268"/>
      <c r="K30" s="269"/>
      <c r="L30" s="268"/>
      <c r="M30" s="284"/>
    </row>
    <row r="31" spans="1:14" ht="6" customHeight="1" x14ac:dyDescent="0.3">
      <c r="B31" s="123"/>
      <c r="C31" s="126"/>
      <c r="D31" s="126"/>
      <c r="E31" s="126"/>
      <c r="F31" s="126"/>
      <c r="G31" s="126"/>
      <c r="H31" s="124"/>
    </row>
    <row r="32" spans="1:14" ht="9.9499999999999993" customHeight="1" x14ac:dyDescent="0.3">
      <c r="B32" s="123"/>
      <c r="C32" s="125"/>
      <c r="D32" s="125"/>
      <c r="E32" s="125"/>
      <c r="F32" s="125"/>
      <c r="G32" s="125"/>
      <c r="H32" s="124"/>
    </row>
    <row r="33" spans="2:8" ht="16.5" x14ac:dyDescent="0.3">
      <c r="B33" s="123"/>
      <c r="C33" s="491" t="s">
        <v>137</v>
      </c>
      <c r="D33" s="491"/>
      <c r="E33" s="491"/>
      <c r="F33" s="491"/>
      <c r="G33" s="491"/>
      <c r="H33" s="124"/>
    </row>
    <row r="34" spans="2:8" ht="9.9499999999999993" customHeight="1" x14ac:dyDescent="0.3">
      <c r="B34" s="123"/>
      <c r="C34" s="125"/>
      <c r="D34" s="125"/>
      <c r="E34" s="125"/>
      <c r="F34" s="125"/>
      <c r="G34" s="125"/>
      <c r="H34" s="124"/>
    </row>
    <row r="35" spans="2:8" ht="40.5" customHeight="1" x14ac:dyDescent="0.3">
      <c r="B35" s="123"/>
      <c r="C35" s="125"/>
      <c r="D35" s="498" t="s">
        <v>208</v>
      </c>
      <c r="E35" s="498"/>
      <c r="F35" s="498"/>
      <c r="G35" s="137"/>
      <c r="H35" s="124"/>
    </row>
    <row r="36" spans="2:8" ht="70.5" customHeight="1" x14ac:dyDescent="0.3">
      <c r="B36" s="123"/>
      <c r="C36" s="126"/>
      <c r="D36" s="126"/>
      <c r="E36" s="126"/>
      <c r="F36" s="126"/>
      <c r="G36" s="126"/>
      <c r="H36" s="124"/>
    </row>
    <row r="37" spans="2:8" x14ac:dyDescent="0.3">
      <c r="B37" s="123"/>
      <c r="C37" s="125"/>
      <c r="D37" s="125"/>
      <c r="E37" s="125"/>
      <c r="F37" s="125"/>
      <c r="G37" s="125"/>
      <c r="H37" s="124"/>
    </row>
    <row r="38" spans="2:8" x14ac:dyDescent="0.3">
      <c r="B38" s="128"/>
      <c r="C38" s="129"/>
      <c r="D38" s="129"/>
      <c r="E38" s="129"/>
      <c r="F38" s="129"/>
      <c r="G38" s="129"/>
      <c r="H38" s="130"/>
    </row>
  </sheetData>
  <sheetProtection algorithmName="SHA-512" hashValue="wOZfzugqwpNxul+ZXtOhJLGajskIMerBoYAQdQ+0w3lEC+2awH2o/MKcUhKu3XsZNoLtBrn8QSjlQwF6Su5jNg==" saltValue="Pd+FaI50TUV10xGeS+FFcQ==" spinCount="100000" sheet="1" objects="1" scenarios="1" selectLockedCells="1"/>
  <mergeCells count="17">
    <mergeCell ref="M1:M2"/>
    <mergeCell ref="C3:G3"/>
    <mergeCell ref="C4:G4"/>
    <mergeCell ref="C5:G5"/>
    <mergeCell ref="C6:G6"/>
    <mergeCell ref="J1:K1"/>
    <mergeCell ref="C7:G7"/>
    <mergeCell ref="C8:G8"/>
    <mergeCell ref="C14:D14"/>
    <mergeCell ref="C15:D15"/>
    <mergeCell ref="D35:F35"/>
    <mergeCell ref="D30:F30"/>
    <mergeCell ref="K11:K12"/>
    <mergeCell ref="C16:G17"/>
    <mergeCell ref="D20:D21"/>
    <mergeCell ref="C33:G33"/>
    <mergeCell ref="D29:F29"/>
  </mergeCells>
  <hyperlinks>
    <hyperlink ref="M1" location="Belegverwaltung!Druckbereich" display="Zurück zur Belegverwaltung"/>
    <hyperlink ref="M1:M2" location="Belegverwaltung!A1" display="Zurück zur Belegverwaltung"/>
  </hyperlinks>
  <pageMargins left="0.70866141732283472" right="0.70866141732283472" top="0.78740157480314965" bottom="0.78740157480314965" header="0.31496062992125984" footer="0.31496062992125984"/>
  <pageSetup paperSize="9" orientation="portrait"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8">
    <pageSetUpPr autoPageBreaks="0" fitToPage="1"/>
  </sheetPr>
  <dimension ref="A1:R29"/>
  <sheetViews>
    <sheetView showGridLines="0" showRowColHeaders="0" zoomScaleNormal="100" workbookViewId="0">
      <selection activeCell="M3" sqref="M3:O3"/>
    </sheetView>
  </sheetViews>
  <sheetFormatPr baseColWidth="10" defaultRowHeight="15" x14ac:dyDescent="0.3"/>
  <cols>
    <col min="1" max="1" width="3" style="1" customWidth="1"/>
    <col min="2" max="2" width="1.42578125" style="1" customWidth="1"/>
    <col min="3" max="3" width="5.85546875" style="1" customWidth="1"/>
    <col min="4" max="4" width="9.7109375" style="1" bestFit="1" customWidth="1"/>
    <col min="5" max="5" width="7.5703125" style="1" customWidth="1"/>
    <col min="6" max="6" width="8" style="1" customWidth="1"/>
    <col min="7" max="7" width="8.7109375" style="1" customWidth="1"/>
    <col min="8" max="8" width="3.7109375" style="1" customWidth="1"/>
    <col min="9" max="9" width="11.42578125" style="1"/>
    <col min="10" max="10" width="13" style="1" bestFit="1" customWidth="1"/>
    <col min="11" max="11" width="10.7109375" style="1" customWidth="1"/>
    <col min="12" max="12" width="22.42578125" style="268" bestFit="1" customWidth="1"/>
    <col min="13" max="13" width="23.5703125" style="268" customWidth="1"/>
    <col min="14" max="14" width="11.42578125" style="268"/>
    <col min="15" max="15" width="10.42578125" style="268" customWidth="1"/>
    <col min="16" max="16" width="6.28515625" style="261" customWidth="1"/>
    <col min="17" max="17" width="34.7109375" style="268" customWidth="1"/>
    <col min="18" max="18" width="11.42578125" style="268"/>
    <col min="19" max="16384" width="11.42578125" style="1"/>
  </cols>
  <sheetData>
    <row r="1" spans="1:18" ht="30" customHeight="1" x14ac:dyDescent="0.35">
      <c r="K1" s="2"/>
      <c r="L1" s="513" t="str">
        <f>intern_Datenblatt!B1</f>
        <v>Verändern Sie hier den Beleg:</v>
      </c>
      <c r="M1" s="513"/>
      <c r="N1" s="513"/>
      <c r="O1" s="513"/>
      <c r="P1" s="338"/>
      <c r="Q1" s="500" t="str">
        <f>intern_Datenblatt!B3</f>
        <v>Zurück zur Belegverwaltung</v>
      </c>
    </row>
    <row r="2" spans="1:18" ht="15" customHeight="1" x14ac:dyDescent="0.3">
      <c r="A2" s="2"/>
      <c r="B2" s="3"/>
      <c r="C2" s="517"/>
      <c r="D2" s="517"/>
      <c r="E2" s="517"/>
      <c r="F2" s="517"/>
      <c r="G2" s="518"/>
      <c r="I2" s="3"/>
      <c r="J2" s="5"/>
      <c r="K2" s="20"/>
      <c r="L2" s="339"/>
      <c r="M2" s="341"/>
      <c r="N2" s="339"/>
      <c r="O2" s="339"/>
      <c r="P2" s="340"/>
      <c r="Q2" s="500"/>
    </row>
    <row r="3" spans="1:18" ht="15" customHeight="1" thickBot="1" x14ac:dyDescent="0.35">
      <c r="A3" s="2"/>
      <c r="B3" s="6"/>
      <c r="C3" s="519" t="str">
        <f>IF(M3="","",M3)</f>
        <v>TABAK - TRAFIK</v>
      </c>
      <c r="D3" s="519"/>
      <c r="E3" s="519"/>
      <c r="F3" s="519"/>
      <c r="G3" s="520"/>
      <c r="I3" s="508" t="s">
        <v>40</v>
      </c>
      <c r="J3" s="509"/>
      <c r="K3" s="40"/>
      <c r="L3" s="268" t="str">
        <f>intern_Datenblatt!A27</f>
        <v>Geschäftsbezeichnung</v>
      </c>
      <c r="M3" s="510" t="s">
        <v>58</v>
      </c>
      <c r="N3" s="510"/>
      <c r="O3" s="510"/>
      <c r="P3" s="270"/>
    </row>
    <row r="4" spans="1:18" ht="15" customHeight="1" thickBot="1" x14ac:dyDescent="0.35">
      <c r="A4" s="2"/>
      <c r="B4" s="6"/>
      <c r="C4" s="519" t="str">
        <f>IF(M4="","",M4)</f>
        <v>Irene Rainer</v>
      </c>
      <c r="D4" s="519"/>
      <c r="E4" s="519"/>
      <c r="F4" s="519"/>
      <c r="G4" s="520"/>
      <c r="I4" s="514" t="str">
        <f>IF(M4="","",M4)</f>
        <v>Irene Rainer</v>
      </c>
      <c r="J4" s="515"/>
      <c r="K4" s="40"/>
      <c r="L4" s="268" t="str">
        <f>intern_Datenblatt!A29</f>
        <v>Firma</v>
      </c>
      <c r="M4" s="511" t="s">
        <v>441</v>
      </c>
      <c r="N4" s="511"/>
      <c r="O4" s="511"/>
      <c r="P4" s="270"/>
    </row>
    <row r="5" spans="1:18" ht="15" customHeight="1" thickBot="1" x14ac:dyDescent="0.35">
      <c r="A5" s="2"/>
      <c r="B5" s="6"/>
      <c r="C5" s="521" t="str">
        <f>IF(M5="","",CONCATENATE(M6,", ",M5))</f>
        <v>6020 Innsbruck, Klostergasse 17</v>
      </c>
      <c r="D5" s="521"/>
      <c r="E5" s="521"/>
      <c r="F5" s="521"/>
      <c r="G5" s="522"/>
      <c r="I5" s="514" t="str">
        <f>IF(M5="","",M5)</f>
        <v>Klostergasse 17</v>
      </c>
      <c r="J5" s="515"/>
      <c r="K5" s="40"/>
      <c r="L5" s="268" t="str">
        <f>intern_Datenblatt!A6</f>
        <v>Adresse</v>
      </c>
      <c r="M5" s="511" t="s">
        <v>442</v>
      </c>
      <c r="N5" s="511"/>
      <c r="O5" s="511"/>
      <c r="P5" s="270"/>
      <c r="Q5" s="407" t="str">
        <f>intern_Datenblatt!B4</f>
        <v>Beleg kopieren</v>
      </c>
    </row>
    <row r="6" spans="1:18" ht="15" customHeight="1" thickBot="1" x14ac:dyDescent="0.35">
      <c r="A6" s="2"/>
      <c r="B6" s="6"/>
      <c r="C6" s="521" t="str">
        <f>IF(M7="","",CONCATENATE("Tel.: ",M7))</f>
        <v>Tel.: +43 676 88 18 705</v>
      </c>
      <c r="D6" s="521"/>
      <c r="E6" s="521"/>
      <c r="F6" s="521"/>
      <c r="G6" s="522"/>
      <c r="I6" s="514" t="str">
        <f>IF(M6="","",M6)</f>
        <v>6020 Innsbruck</v>
      </c>
      <c r="J6" s="515"/>
      <c r="K6" s="2"/>
      <c r="L6" s="268" t="str">
        <f>intern_Datenblatt!A51</f>
        <v>PLZ und Ort</v>
      </c>
      <c r="M6" s="511" t="s">
        <v>429</v>
      </c>
      <c r="N6" s="511"/>
      <c r="O6" s="511"/>
      <c r="P6" s="270"/>
    </row>
    <row r="7" spans="1:18" ht="15" customHeight="1" thickBot="1" x14ac:dyDescent="0.35">
      <c r="A7" s="2"/>
      <c r="B7" s="6"/>
      <c r="C7" s="52"/>
      <c r="D7" s="52"/>
      <c r="E7" s="52"/>
      <c r="F7" s="52"/>
      <c r="G7" s="53"/>
      <c r="H7" s="47"/>
      <c r="I7" s="6"/>
      <c r="J7" s="7"/>
      <c r="K7" s="20"/>
      <c r="L7" s="268" t="str">
        <f>intern_Datenblatt!A66</f>
        <v>Telefon</v>
      </c>
      <c r="M7" s="512" t="s">
        <v>443</v>
      </c>
      <c r="N7" s="512"/>
      <c r="O7" s="512"/>
      <c r="P7" s="288"/>
    </row>
    <row r="8" spans="1:18" ht="15" customHeight="1" thickBot="1" x14ac:dyDescent="0.35">
      <c r="A8" s="2"/>
      <c r="B8" s="6"/>
      <c r="C8" s="54" t="str">
        <f>CONCATENATE("Rechnung Nr. ",M8)</f>
        <v>Rechnung Nr. 44865835</v>
      </c>
      <c r="D8" s="54"/>
      <c r="E8" s="54"/>
      <c r="F8" s="454">
        <f ca="1">+IF(M10="BAR",CONCATENATE(RANDBETWEEN(7,18),":",RANDBETWEEN(10,59)),J9)</f>
        <v>0.74319118876824719</v>
      </c>
      <c r="G8" s="455">
        <f ca="1">IF(M9="","",M9)</f>
        <v>44168</v>
      </c>
      <c r="I8" s="508" t="s">
        <v>41</v>
      </c>
      <c r="J8" s="509"/>
      <c r="K8" s="41"/>
      <c r="L8" s="268" t="str">
        <f>intern_Datenblatt!A58</f>
        <v>Rechnungsnummer</v>
      </c>
      <c r="M8" s="504">
        <v>44865835</v>
      </c>
      <c r="N8" s="504"/>
      <c r="O8" s="504"/>
      <c r="P8" s="270"/>
    </row>
    <row r="9" spans="1:18" ht="15" customHeight="1" thickBot="1" x14ac:dyDescent="0.35">
      <c r="A9" s="2"/>
      <c r="B9" s="6"/>
      <c r="C9" s="178" t="s">
        <v>197</v>
      </c>
      <c r="D9" s="178"/>
      <c r="E9" s="178"/>
      <c r="F9" s="178"/>
      <c r="G9" s="456" t="str">
        <f ca="1">CONCATENATE("Kassa 0",RANDBETWEEN(1,2))</f>
        <v>Kassa 01</v>
      </c>
      <c r="H9" s="15"/>
      <c r="I9" s="28">
        <f ca="1">IF(M9="","",M9)</f>
        <v>44168</v>
      </c>
      <c r="J9" s="29">
        <f ca="1">+RAND()*0.375+0.375</f>
        <v>0.74319118876824719</v>
      </c>
      <c r="K9" s="42"/>
      <c r="L9" s="268" t="str">
        <f>intern_Datenblatt!A20</f>
        <v>Datum</v>
      </c>
      <c r="M9" s="506">
        <f ca="1">DATE(YEAR(TODAY()),12,3)</f>
        <v>44168</v>
      </c>
      <c r="N9" s="506"/>
      <c r="O9" s="506"/>
      <c r="P9" s="272"/>
    </row>
    <row r="10" spans="1:18" ht="15" customHeight="1" x14ac:dyDescent="0.3">
      <c r="A10" s="2"/>
      <c r="B10" s="55"/>
      <c r="C10" s="156" t="str">
        <f>L13</f>
        <v>Menge</v>
      </c>
      <c r="D10" s="507" t="str">
        <f>M13</f>
        <v>Bezeichnung</v>
      </c>
      <c r="E10" s="507"/>
      <c r="F10" s="243" t="str">
        <f>intern_Datenblatt!A54</f>
        <v>Preis</v>
      </c>
      <c r="G10" s="56" t="s">
        <v>59</v>
      </c>
      <c r="H10" s="48"/>
      <c r="I10" s="30" t="s">
        <v>42</v>
      </c>
      <c r="J10" s="31">
        <f>N14*1502</f>
        <v>136832.19999999998</v>
      </c>
      <c r="K10" s="42"/>
      <c r="L10" s="268" t="str">
        <f>intern_Datenblatt!A75</f>
        <v>Auswahl Zahlungsart</v>
      </c>
      <c r="M10" s="505" t="s">
        <v>39</v>
      </c>
      <c r="N10" s="505"/>
      <c r="O10" s="505"/>
      <c r="P10" s="270"/>
      <c r="Q10" s="403" t="str">
        <f>IF(OR(M10="auf ziel",M10="BAR"),"B2:G28","B2:J28")</f>
        <v>B2:J28</v>
      </c>
      <c r="R10" s="431" t="s">
        <v>338</v>
      </c>
    </row>
    <row r="11" spans="1:18" ht="15" customHeight="1" x14ac:dyDescent="0.3">
      <c r="A11" s="2"/>
      <c r="B11" s="6"/>
      <c r="C11" s="246">
        <f t="shared" ref="C11:D14" si="0">IF(L14="","",L14)</f>
        <v>1</v>
      </c>
      <c r="D11" s="516" t="str">
        <f t="shared" ca="1" si="0"/>
        <v>VI.PKW. JA 2020</v>
      </c>
      <c r="E11" s="516"/>
      <c r="F11" s="57">
        <f>IF(N14="","",N14)</f>
        <v>91.1</v>
      </c>
      <c r="G11" s="58">
        <f>IF(L14="","",L14*N14)</f>
        <v>91.1</v>
      </c>
      <c r="H11" s="48"/>
      <c r="I11" s="30" t="s">
        <v>43</v>
      </c>
      <c r="J11" s="31">
        <f>J10*3</f>
        <v>410496.6</v>
      </c>
      <c r="K11" s="42"/>
      <c r="Q11" s="314" t="str">
        <f>IF(M10="AUF ZIEL","NEIN","JA")</f>
        <v>JA</v>
      </c>
    </row>
    <row r="12" spans="1:18" ht="15" customHeight="1" x14ac:dyDescent="0.3">
      <c r="A12" s="2"/>
      <c r="B12" s="6"/>
      <c r="C12" s="246">
        <f t="shared" si="0"/>
        <v>2</v>
      </c>
      <c r="D12" s="516" t="str">
        <f t="shared" si="0"/>
        <v>NEWS</v>
      </c>
      <c r="E12" s="516"/>
      <c r="F12" s="57">
        <f>IF(N15="","",N15)</f>
        <v>3.2</v>
      </c>
      <c r="G12" s="58">
        <f>IF(L15="","",L15*N15)</f>
        <v>6.4</v>
      </c>
      <c r="H12" s="48"/>
      <c r="I12" s="30" t="s">
        <v>44</v>
      </c>
      <c r="J12" s="31">
        <f>+J10/7</f>
        <v>19547.45714285714</v>
      </c>
      <c r="K12" s="20"/>
    </row>
    <row r="13" spans="1:18" ht="15" customHeight="1" x14ac:dyDescent="0.3">
      <c r="A13" s="2"/>
      <c r="B13" s="6"/>
      <c r="C13" s="246">
        <f t="shared" si="0"/>
        <v>2</v>
      </c>
      <c r="D13" s="516" t="str">
        <f t="shared" si="0"/>
        <v>Bild der Frau</v>
      </c>
      <c r="E13" s="516"/>
      <c r="F13" s="57">
        <f>IF(N16="","",N16)</f>
        <v>2.2000000000000002</v>
      </c>
      <c r="G13" s="58">
        <f>IF(L16="","",L16*N16)</f>
        <v>4.4000000000000004</v>
      </c>
      <c r="H13" s="12"/>
      <c r="I13" s="525" t="str">
        <f>IF(M10="","",M10)</f>
        <v>AMERICAN EXPRESS</v>
      </c>
      <c r="J13" s="509"/>
      <c r="K13" s="43"/>
      <c r="L13" s="274" t="str">
        <f>intern_Datenblatt!A42</f>
        <v>Menge</v>
      </c>
      <c r="M13" s="274" t="str">
        <f>intern_Datenblatt!A17</f>
        <v>Bezeichnung</v>
      </c>
      <c r="N13" s="274" t="str">
        <f>intern_Datenblatt!A56</f>
        <v>Preis/Stk.</v>
      </c>
      <c r="O13" s="460" t="str">
        <f>intern_Datenblatt!A72</f>
        <v>USt %</v>
      </c>
      <c r="P13" s="275"/>
    </row>
    <row r="14" spans="1:18" ht="15" customHeight="1" thickBot="1" x14ac:dyDescent="0.35">
      <c r="A14" s="2"/>
      <c r="B14" s="59"/>
      <c r="C14" s="255">
        <f t="shared" si="0"/>
        <v>1</v>
      </c>
      <c r="D14" s="530" t="str">
        <f t="shared" si="0"/>
        <v>Auto Motor Sport</v>
      </c>
      <c r="E14" s="530"/>
      <c r="F14" s="60">
        <f>IF(N17="","",N17)</f>
        <v>4.9000000000000004</v>
      </c>
      <c r="G14" s="61">
        <f>IF(L17="","",L17*N17)</f>
        <v>4.9000000000000004</v>
      </c>
      <c r="H14" s="48"/>
      <c r="I14" s="32" t="s">
        <v>45</v>
      </c>
      <c r="J14" s="33" t="str">
        <f>"A00000043060"</f>
        <v>A00000043060</v>
      </c>
      <c r="K14" s="43"/>
      <c r="L14" s="349">
        <v>1</v>
      </c>
      <c r="M14" s="348" t="str">
        <f ca="1">CONCATENATE("VI.PKW. JA ",YEAR(M9))</f>
        <v>VI.PKW. JA 2020</v>
      </c>
      <c r="N14" s="356">
        <v>91.1</v>
      </c>
      <c r="O14" s="349">
        <v>0</v>
      </c>
      <c r="P14" s="277"/>
    </row>
    <row r="15" spans="1:18" ht="15" customHeight="1" thickBot="1" x14ac:dyDescent="0.35">
      <c r="A15" s="2"/>
      <c r="B15" s="6"/>
      <c r="C15" s="256">
        <v>0</v>
      </c>
      <c r="D15" s="62" t="s">
        <v>61</v>
      </c>
      <c r="E15" s="63">
        <f>SUMIFS(G11:G14,$O$14:$O$17,$C$15)</f>
        <v>91.1</v>
      </c>
      <c r="F15" s="57">
        <f>+E15*C15/10</f>
        <v>0</v>
      </c>
      <c r="G15" s="58"/>
      <c r="H15" s="48"/>
      <c r="I15" s="32" t="s">
        <v>46</v>
      </c>
      <c r="J15" s="33">
        <f>+J11*110550</f>
        <v>45380399130</v>
      </c>
      <c r="K15" s="43"/>
      <c r="L15" s="351">
        <v>2</v>
      </c>
      <c r="M15" s="350" t="s">
        <v>444</v>
      </c>
      <c r="N15" s="357">
        <v>3.2</v>
      </c>
      <c r="O15" s="351">
        <v>10</v>
      </c>
      <c r="P15" s="277"/>
    </row>
    <row r="16" spans="1:18" ht="15" customHeight="1" thickBot="1" x14ac:dyDescent="0.35">
      <c r="A16" s="2"/>
      <c r="B16" s="6"/>
      <c r="C16" s="256">
        <v>10</v>
      </c>
      <c r="D16" s="62" t="s">
        <v>61</v>
      </c>
      <c r="E16" s="63">
        <f>SUMIFS(G11:G14,O14:O17,C16)</f>
        <v>15.700000000000001</v>
      </c>
      <c r="F16" s="57">
        <f>+E16/(100+C16)*C16</f>
        <v>1.4272727272727272</v>
      </c>
      <c r="G16" s="58"/>
      <c r="H16" s="12"/>
      <c r="I16" s="32" t="s">
        <v>47</v>
      </c>
      <c r="J16" s="33" t="s">
        <v>62</v>
      </c>
      <c r="K16" s="44"/>
      <c r="L16" s="351">
        <v>2</v>
      </c>
      <c r="M16" s="350" t="s">
        <v>445</v>
      </c>
      <c r="N16" s="357">
        <v>2.2000000000000002</v>
      </c>
      <c r="O16" s="351">
        <v>10</v>
      </c>
      <c r="P16" s="277"/>
    </row>
    <row r="17" spans="1:16" ht="15" customHeight="1" x14ac:dyDescent="0.3">
      <c r="A17" s="2"/>
      <c r="B17" s="64"/>
      <c r="C17" s="257">
        <v>20</v>
      </c>
      <c r="D17" s="65" t="s">
        <v>61</v>
      </c>
      <c r="E17" s="66">
        <f>SUMIFS($G$11:$G$14,$O$14:$O$17,C17)</f>
        <v>0</v>
      </c>
      <c r="F17" s="57">
        <f>+E17/(100+C17)*C17</f>
        <v>0</v>
      </c>
      <c r="G17" s="61"/>
      <c r="H17" s="49"/>
      <c r="I17" s="32" t="str">
        <f>IF($I$13="MAESTRO","","Ablaufdatum:")</f>
        <v>Ablaufdatum:</v>
      </c>
      <c r="J17" s="34">
        <f ca="1">IF($I$13="MAESTRO","",(M9+625))</f>
        <v>44793</v>
      </c>
      <c r="K17" s="45"/>
      <c r="L17" s="353">
        <v>1</v>
      </c>
      <c r="M17" s="352" t="s">
        <v>446</v>
      </c>
      <c r="N17" s="358">
        <v>4.9000000000000004</v>
      </c>
      <c r="O17" s="353">
        <v>10</v>
      </c>
      <c r="P17" s="277"/>
    </row>
    <row r="18" spans="1:16" ht="15.75" x14ac:dyDescent="0.3">
      <c r="A18" s="2"/>
      <c r="B18" s="55"/>
      <c r="C18" s="535" t="s">
        <v>59</v>
      </c>
      <c r="D18" s="535"/>
      <c r="E18" s="67"/>
      <c r="F18" s="68"/>
      <c r="G18" s="69">
        <f>SUM(G11:G14)</f>
        <v>106.80000000000001</v>
      </c>
      <c r="H18" s="50"/>
      <c r="I18" s="32" t="str">
        <f>IF($I$13="MAESTRO","","SEQ:")</f>
        <v>SEQ:</v>
      </c>
      <c r="J18" s="105" t="str">
        <f>IF($I$13="MAESTRO","","001")</f>
        <v>001</v>
      </c>
      <c r="K18" s="26"/>
    </row>
    <row r="19" spans="1:16" ht="16.5" thickBot="1" x14ac:dyDescent="0.35">
      <c r="A19" s="2"/>
      <c r="B19" s="6"/>
      <c r="C19" s="531" t="str">
        <f>IF(M10="bar","Betrag dankend erhalten.",CONCATENATE("Zahlung - ",M10))</f>
        <v>Zahlung - AMERICAN EXPRESS</v>
      </c>
      <c r="D19" s="531"/>
      <c r="E19" s="531"/>
      <c r="F19" s="531"/>
      <c r="G19" s="532"/>
      <c r="H19" s="48"/>
      <c r="I19" s="526" t="s">
        <v>48</v>
      </c>
      <c r="J19" s="527"/>
      <c r="K19" s="40"/>
    </row>
    <row r="20" spans="1:16" ht="12.75" customHeight="1" x14ac:dyDescent="0.3">
      <c r="A20" s="2"/>
      <c r="B20" s="6"/>
      <c r="C20" s="533" t="s">
        <v>63</v>
      </c>
      <c r="D20" s="533"/>
      <c r="E20" s="533"/>
      <c r="F20" s="533"/>
      <c r="G20" s="534"/>
      <c r="H20" s="48"/>
      <c r="I20" s="32" t="s">
        <v>49</v>
      </c>
      <c r="J20" s="35">
        <f>+J10/3</f>
        <v>45610.73333333333</v>
      </c>
      <c r="K20" s="46"/>
      <c r="L20" s="268" t="str">
        <f>+intern_Datenblatt!A76</f>
        <v>Zahlungskonditionen</v>
      </c>
      <c r="M20" s="523" t="s">
        <v>241</v>
      </c>
      <c r="N20" s="523"/>
      <c r="O20" s="523"/>
    </row>
    <row r="21" spans="1:16" x14ac:dyDescent="0.3">
      <c r="A21" s="2"/>
      <c r="B21" s="6"/>
      <c r="C21" s="536" t="str">
        <f>IF(M20="","",M20)</f>
        <v>Vignetten-Verkauf im Namen und auf Rechnung der ASFINAG AG.</v>
      </c>
      <c r="D21" s="536"/>
      <c r="E21" s="536"/>
      <c r="F21" s="247"/>
      <c r="G21" s="248"/>
      <c r="H21" s="48"/>
      <c r="I21" s="32" t="s">
        <v>50</v>
      </c>
      <c r="J21" s="239">
        <f>+G18</f>
        <v>106.80000000000001</v>
      </c>
      <c r="K21" s="2"/>
      <c r="M21" s="524"/>
      <c r="N21" s="524"/>
      <c r="O21" s="524"/>
    </row>
    <row r="22" spans="1:16" x14ac:dyDescent="0.3">
      <c r="A22" s="2"/>
      <c r="B22" s="6"/>
      <c r="C22" s="536"/>
      <c r="D22" s="536"/>
      <c r="E22" s="536"/>
      <c r="F22" s="247"/>
      <c r="G22" s="248"/>
      <c r="H22" s="48"/>
      <c r="I22" s="6"/>
      <c r="J22" s="7"/>
      <c r="K22" s="36"/>
      <c r="M22" s="524"/>
      <c r="N22" s="524"/>
      <c r="O22" s="524"/>
    </row>
    <row r="23" spans="1:16" x14ac:dyDescent="0.3">
      <c r="A23" s="2"/>
      <c r="B23" s="6"/>
      <c r="C23" s="536"/>
      <c r="D23" s="536"/>
      <c r="E23" s="536"/>
      <c r="F23" s="247"/>
      <c r="G23" s="248"/>
      <c r="I23" s="528" t="s">
        <v>236</v>
      </c>
      <c r="J23" s="529"/>
      <c r="K23" s="2"/>
    </row>
    <row r="24" spans="1:16" x14ac:dyDescent="0.3">
      <c r="A24" s="2"/>
      <c r="B24" s="6"/>
      <c r="C24" s="536"/>
      <c r="D24" s="536"/>
      <c r="E24" s="536"/>
      <c r="F24" s="244"/>
      <c r="G24" s="245"/>
      <c r="I24" s="8"/>
      <c r="J24" s="9"/>
    </row>
    <row r="25" spans="1:16" x14ac:dyDescent="0.3">
      <c r="A25" s="2"/>
      <c r="B25" s="6"/>
      <c r="C25" s="536"/>
      <c r="D25" s="536"/>
      <c r="E25" s="536"/>
      <c r="F25" s="244"/>
      <c r="G25" s="245"/>
    </row>
    <row r="26" spans="1:16" x14ac:dyDescent="0.3">
      <c r="A26" s="2"/>
      <c r="B26" s="6"/>
      <c r="C26" s="536"/>
      <c r="D26" s="536"/>
      <c r="E26" s="536"/>
      <c r="F26" s="244"/>
      <c r="G26" s="245"/>
    </row>
    <row r="27" spans="1:16" x14ac:dyDescent="0.3">
      <c r="A27" s="2"/>
      <c r="B27" s="6"/>
      <c r="C27" s="247"/>
      <c r="D27" s="247"/>
      <c r="E27" s="247"/>
      <c r="F27" s="247"/>
      <c r="G27" s="248"/>
    </row>
    <row r="28" spans="1:16" x14ac:dyDescent="0.3">
      <c r="A28" s="2"/>
      <c r="B28" s="8"/>
      <c r="C28" s="249"/>
      <c r="D28" s="249"/>
      <c r="E28" s="249"/>
      <c r="F28" s="249"/>
      <c r="G28" s="250"/>
    </row>
    <row r="29" spans="1:16" x14ac:dyDescent="0.3">
      <c r="A29" s="2"/>
    </row>
  </sheetData>
  <sheetProtection algorithmName="SHA-512" hashValue="A7KXFG+KlqmgN0tpABjnnUE7Dg2EJCAyXJ5JDFgJ7wLaz/njxin7Rp3z3ekgq8JCjeuyoUs+4eN9BI8vX5qftw==" saltValue="Z9h6Is+Z+YKjP+x8dJzx0g==" spinCount="100000" sheet="1" objects="1" scenarios="1" selectLockedCells="1"/>
  <mergeCells count="33">
    <mergeCell ref="M20:O22"/>
    <mergeCell ref="I13:J13"/>
    <mergeCell ref="I19:J19"/>
    <mergeCell ref="I23:J23"/>
    <mergeCell ref="D14:E14"/>
    <mergeCell ref="C19:G19"/>
    <mergeCell ref="C20:G20"/>
    <mergeCell ref="C18:D18"/>
    <mergeCell ref="C21:E26"/>
    <mergeCell ref="D12:E12"/>
    <mergeCell ref="D13:E13"/>
    <mergeCell ref="C2:G2"/>
    <mergeCell ref="C4:G4"/>
    <mergeCell ref="C5:G5"/>
    <mergeCell ref="C6:G6"/>
    <mergeCell ref="C3:G3"/>
    <mergeCell ref="D11:E11"/>
    <mergeCell ref="Q1:Q2"/>
    <mergeCell ref="M8:O8"/>
    <mergeCell ref="M10:O10"/>
    <mergeCell ref="M9:O9"/>
    <mergeCell ref="D10:E10"/>
    <mergeCell ref="I3:J3"/>
    <mergeCell ref="I8:J8"/>
    <mergeCell ref="M3:O3"/>
    <mergeCell ref="M4:O4"/>
    <mergeCell ref="M5:O5"/>
    <mergeCell ref="M6:O6"/>
    <mergeCell ref="M7:O7"/>
    <mergeCell ref="L1:O1"/>
    <mergeCell ref="I4:J4"/>
    <mergeCell ref="I5:J5"/>
    <mergeCell ref="I6:J6"/>
  </mergeCells>
  <conditionalFormatting sqref="I2:J24">
    <cfRule type="expression" dxfId="3" priority="7">
      <formula>$M$10="BAR"</formula>
    </cfRule>
  </conditionalFormatting>
  <dataValidations count="2">
    <dataValidation type="list" allowBlank="1" showInputMessage="1" showErrorMessage="1" sqref="O14:P17">
      <formula1>USt_vollständig</formula1>
    </dataValidation>
    <dataValidation type="list" allowBlank="1" showInputMessage="1" showErrorMessage="1" sqref="M10:O10">
      <formula1>Zahlungsarten_sofort</formula1>
    </dataValidation>
  </dataValidations>
  <hyperlinks>
    <hyperlink ref="Q1" location="Belegverwaltung!Druckbereich" display="Zurück zur Belegverwaltung"/>
    <hyperlink ref="Q1:Q2" location="Belegverwaltung!A1" display="Zurück zur Belegverwaltung"/>
  </hyperlinks>
  <pageMargins left="0.70866141732283472" right="0.70866141732283472" top="0.78740157480314965" bottom="0.78740157480314965" header="0.31496062992125984" footer="0.31496062992125984"/>
  <pageSetup paperSize="9" orientation="portrait" horizontalDpi="300" verticalDpi="300" r:id="rId1"/>
  <colBreaks count="1" manualBreakCount="1">
    <brk id="10" max="1048575"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9">
    <pageSetUpPr autoPageBreaks="0"/>
  </sheetPr>
  <dimension ref="B1:Y21"/>
  <sheetViews>
    <sheetView showGridLines="0" showRowColHeaders="0" zoomScaleNormal="100" workbookViewId="0">
      <selection activeCell="I4" sqref="I4"/>
    </sheetView>
  </sheetViews>
  <sheetFormatPr baseColWidth="10" defaultRowHeight="15" x14ac:dyDescent="0.3"/>
  <cols>
    <col min="1" max="1" width="11.42578125" style="1" customWidth="1"/>
    <col min="2" max="2" width="19.7109375" style="1" customWidth="1"/>
    <col min="3" max="3" width="13.85546875" style="1" bestFit="1" customWidth="1"/>
    <col min="4" max="4" width="8.85546875" style="1" customWidth="1"/>
    <col min="5" max="5" width="19.7109375" style="1" customWidth="1"/>
    <col min="6" max="6" width="4" style="1" customWidth="1"/>
    <col min="7" max="7" width="10.7109375" style="1" customWidth="1"/>
    <col min="8" max="8" width="23.42578125" style="268" bestFit="1" customWidth="1"/>
    <col min="9" max="9" width="30.85546875" style="268" customWidth="1"/>
    <col min="10" max="20" width="11.42578125" style="268" hidden="1" customWidth="1"/>
    <col min="21" max="21" width="6.28515625" style="268" customWidth="1"/>
    <col min="22" max="22" width="34.7109375" style="268" customWidth="1"/>
    <col min="23" max="23" width="11.42578125" style="268"/>
    <col min="24" max="16384" width="11.42578125" style="1"/>
  </cols>
  <sheetData>
    <row r="1" spans="2:25" ht="30" customHeight="1" x14ac:dyDescent="0.35">
      <c r="H1" s="513" t="str">
        <f>intern_Datenblatt!B1</f>
        <v>Verändern Sie hier den Beleg:</v>
      </c>
      <c r="I1" s="513"/>
      <c r="J1" s="339"/>
      <c r="K1" s="342"/>
      <c r="L1" s="342"/>
      <c r="M1" s="342"/>
      <c r="N1" s="342"/>
      <c r="O1" s="342"/>
      <c r="P1" s="342"/>
      <c r="Q1" s="342"/>
      <c r="R1" s="342"/>
      <c r="S1" s="342"/>
      <c r="T1" s="342"/>
      <c r="U1" s="342"/>
      <c r="V1" s="481" t="str">
        <f>intern_Datenblatt!B3</f>
        <v>Zurück zur Belegverwaltung</v>
      </c>
      <c r="W1" s="289"/>
      <c r="X1" s="91"/>
      <c r="Y1" s="91"/>
    </row>
    <row r="2" spans="2:25" ht="19.5" customHeight="1" x14ac:dyDescent="0.35">
      <c r="D2" s="92" t="s">
        <v>64</v>
      </c>
      <c r="E2" s="381" t="str">
        <f>IF(I5="","",I5)</f>
        <v>K 456</v>
      </c>
      <c r="H2" s="339"/>
      <c r="I2" s="341"/>
      <c r="J2" s="339"/>
      <c r="K2" s="342"/>
      <c r="L2" s="343" t="s">
        <v>70</v>
      </c>
      <c r="M2" s="339"/>
      <c r="N2" s="339"/>
      <c r="O2" s="339"/>
      <c r="P2" s="342"/>
      <c r="Q2" s="342"/>
      <c r="R2" s="342"/>
      <c r="S2" s="342"/>
      <c r="T2" s="342"/>
      <c r="U2" s="342"/>
      <c r="V2" s="481"/>
      <c r="W2" s="289"/>
      <c r="X2" s="91"/>
      <c r="Y2" s="91"/>
    </row>
    <row r="3" spans="2:25" ht="9.75" customHeight="1" thickBot="1" x14ac:dyDescent="0.35">
      <c r="E3" s="93"/>
      <c r="F3" s="94"/>
      <c r="G3" s="94"/>
      <c r="I3" s="269"/>
      <c r="K3" s="289"/>
      <c r="L3" s="289"/>
      <c r="P3" s="289"/>
      <c r="Q3" s="289"/>
      <c r="R3" s="289"/>
      <c r="S3" s="289"/>
      <c r="T3" s="289"/>
      <c r="U3" s="289"/>
      <c r="V3" s="289"/>
      <c r="W3" s="289"/>
      <c r="X3" s="91"/>
      <c r="Y3" s="91"/>
    </row>
    <row r="4" spans="2:25" ht="21" customHeight="1" thickBot="1" x14ac:dyDescent="0.35">
      <c r="B4" s="96" t="s">
        <v>79</v>
      </c>
      <c r="C4" s="539" t="s">
        <v>78</v>
      </c>
      <c r="D4" s="539"/>
      <c r="E4" s="96" t="s">
        <v>80</v>
      </c>
      <c r="H4" s="290" t="s">
        <v>67</v>
      </c>
      <c r="I4" s="371" t="s">
        <v>68</v>
      </c>
      <c r="K4" s="289"/>
      <c r="L4" s="289"/>
      <c r="P4" s="289"/>
      <c r="Q4" s="289"/>
      <c r="R4" s="289"/>
      <c r="S4" s="289"/>
      <c r="T4" s="289"/>
      <c r="U4" s="289"/>
      <c r="V4" s="410" t="str">
        <f>intern_Datenblatt!B4</f>
        <v>Beleg kopieren</v>
      </c>
      <c r="W4" s="289"/>
      <c r="X4" s="91"/>
      <c r="Y4" s="91"/>
    </row>
    <row r="5" spans="2:25" ht="21" customHeight="1" thickBot="1" x14ac:dyDescent="0.35">
      <c r="H5" s="273" t="str">
        <f>intern_Datenblatt!A13</f>
        <v>Belegnummer</v>
      </c>
      <c r="I5" s="372" t="s">
        <v>447</v>
      </c>
      <c r="K5" s="289"/>
      <c r="L5" s="291"/>
      <c r="P5" s="289"/>
      <c r="Q5" s="289"/>
      <c r="R5" s="289"/>
      <c r="S5" s="289"/>
      <c r="T5" s="289"/>
      <c r="U5" s="289"/>
      <c r="V5" s="289"/>
      <c r="W5" s="289"/>
      <c r="X5" s="91"/>
      <c r="Y5" s="91"/>
    </row>
    <row r="6" spans="2:25" ht="21" customHeight="1" thickBot="1" x14ac:dyDescent="0.4">
      <c r="B6" s="378">
        <f>IF(I4="Eingang",I8,"")</f>
        <v>120</v>
      </c>
      <c r="C6" s="542" t="s">
        <v>75</v>
      </c>
      <c r="D6" s="543"/>
      <c r="E6" s="378" t="str">
        <f>IF(I4="Ausgang",I8,"")</f>
        <v/>
      </c>
      <c r="H6" s="273" t="s">
        <v>73</v>
      </c>
      <c r="I6" s="364" t="s">
        <v>448</v>
      </c>
      <c r="K6" s="292"/>
      <c r="L6" s="293">
        <f>IF(B10="",E10,B10)</f>
        <v>144</v>
      </c>
      <c r="M6" s="294" t="str">
        <f>IF(ROUND(VALUE(10*(100*L6-INT(100*L6))),0)&gt;0,"maximal 2 Nachkommastellen","")</f>
        <v/>
      </c>
      <c r="N6" s="289"/>
      <c r="O6" s="289"/>
      <c r="P6" s="289"/>
      <c r="Q6" s="289"/>
      <c r="R6" s="289"/>
      <c r="S6" s="289"/>
      <c r="T6" s="289"/>
      <c r="U6" s="289"/>
      <c r="V6" s="289"/>
      <c r="W6" s="289"/>
      <c r="X6" s="91"/>
    </row>
    <row r="7" spans="2:25" ht="21" customHeight="1" thickBot="1" x14ac:dyDescent="0.4">
      <c r="B7" s="379"/>
      <c r="E7" s="48"/>
      <c r="H7" s="273"/>
      <c r="I7" s="365" t="s">
        <v>429</v>
      </c>
      <c r="K7" s="293"/>
      <c r="L7" s="289"/>
      <c r="P7" s="289"/>
      <c r="Q7" s="289"/>
      <c r="R7" s="289"/>
      <c r="S7" s="289"/>
      <c r="T7" s="289"/>
      <c r="U7" s="289"/>
      <c r="V7" s="289"/>
      <c r="W7" s="289"/>
      <c r="X7" s="91"/>
    </row>
    <row r="8" spans="2:25" ht="21" customHeight="1" thickBot="1" x14ac:dyDescent="0.4">
      <c r="B8" s="378">
        <f>IF(B6="","",B6*$I$9/100)</f>
        <v>24</v>
      </c>
      <c r="C8" s="95" t="str">
        <f>+CONCATENATE("+ ",I9," %")</f>
        <v>+ 20 %</v>
      </c>
      <c r="D8" s="18" t="s">
        <v>207</v>
      </c>
      <c r="E8" s="378" t="str">
        <f>IF(E6="","",E6*$I$9/100)</f>
        <v/>
      </c>
      <c r="H8" s="273" t="str">
        <f>+CONCATENATE(intern_Datenblatt!$A$16," netto")</f>
        <v>Betrag netto</v>
      </c>
      <c r="I8" s="462">
        <v>120</v>
      </c>
      <c r="K8" s="295" t="s">
        <v>71</v>
      </c>
      <c r="L8" s="296" t="str">
        <f>IF(L6&gt;=1000000000,"nur unter 1 Milliarde",IF(ABS(L6)&lt;1,"null",IF(L6&lt;0,"minus   ","")&amp;IF(L13=0,"",M13)&amp;IF(AND(L14=0,L15=0),"",N14)&amp;IF(L16=0,"",M16)&amp;IF(AND(L17=0,L18=0),"",N17)&amp;IF(L19=0,"",M19)&amp;IF(AND(L20=0,L21=0),"",IF(AND(L20=0,L21=1),"eins",N20))))</f>
        <v>einhundertvierundvierzig</v>
      </c>
      <c r="P8" s="289"/>
      <c r="Q8" s="289"/>
      <c r="R8" s="289"/>
      <c r="S8" s="289"/>
      <c r="T8" s="289"/>
      <c r="U8" s="289"/>
      <c r="V8" s="289"/>
      <c r="W8" s="289"/>
      <c r="X8" s="91"/>
    </row>
    <row r="9" spans="2:25" ht="21" customHeight="1" thickBot="1" x14ac:dyDescent="0.35">
      <c r="B9" s="379"/>
      <c r="E9" s="48"/>
      <c r="H9" s="273" t="str">
        <f>intern_Datenblatt!$A$72</f>
        <v>USt %</v>
      </c>
      <c r="I9" s="461">
        <v>20</v>
      </c>
      <c r="K9" s="289"/>
      <c r="L9" s="297"/>
      <c r="M9" s="298"/>
      <c r="N9" s="289"/>
      <c r="O9" s="289"/>
      <c r="P9" s="289"/>
      <c r="Q9" s="289"/>
      <c r="R9" s="289"/>
      <c r="S9" s="289"/>
      <c r="T9" s="289"/>
      <c r="U9" s="289"/>
      <c r="V9" s="289"/>
      <c r="W9" s="289"/>
      <c r="X9" s="91"/>
    </row>
    <row r="10" spans="2:25" ht="21" customHeight="1" thickBot="1" x14ac:dyDescent="0.35">
      <c r="B10" s="378">
        <f>IF(B6="","",B6+B8)</f>
        <v>144</v>
      </c>
      <c r="C10" s="542" t="s">
        <v>76</v>
      </c>
      <c r="D10" s="543"/>
      <c r="E10" s="378" t="str">
        <f>IF(E6="","",E6+E8)</f>
        <v/>
      </c>
      <c r="H10" s="273" t="s">
        <v>74</v>
      </c>
      <c r="I10" s="347" t="s">
        <v>449</v>
      </c>
      <c r="K10" s="289"/>
      <c r="L10" s="299" t="str">
        <f>SUBSTITUTE(SUBSTITUTE(SUBSTITUTE(SUBSTITUTE(SUBSTITUTE(SUBSTITUTE(SUBSTITUTE(SUBSTITUTE(L6,0,"Null   "),1,"Eins   "),2,"Zwo   "),3,"Drei   "),4,"Vier   "),5,"Fünf   "),6,"Sechs   "),7,"Sieben   ")</f>
        <v xml:space="preserve">Eins   Vier   Vier   </v>
      </c>
      <c r="M10" s="298"/>
      <c r="N10" s="289"/>
      <c r="O10" s="289"/>
      <c r="P10" s="289"/>
      <c r="Q10" s="289"/>
      <c r="R10" s="289"/>
      <c r="S10" s="289"/>
      <c r="T10" s="289"/>
      <c r="U10" s="289"/>
      <c r="V10" s="289"/>
      <c r="W10" s="289"/>
      <c r="X10" s="91"/>
    </row>
    <row r="11" spans="2:25" ht="21" customHeight="1" thickBot="1" x14ac:dyDescent="0.35">
      <c r="B11" s="48"/>
      <c r="E11" s="2"/>
      <c r="H11" s="273" t="str">
        <f>intern_Datenblatt!A50</f>
        <v>Ort</v>
      </c>
      <c r="I11" s="373" t="s">
        <v>450</v>
      </c>
      <c r="K11" s="289"/>
      <c r="L11" s="289"/>
      <c r="M11" s="289"/>
      <c r="N11" s="289"/>
      <c r="O11" s="289"/>
      <c r="P11" s="289"/>
      <c r="Q11" s="289"/>
      <c r="R11" s="289"/>
      <c r="S11" s="289"/>
      <c r="T11" s="289"/>
      <c r="U11" s="289"/>
      <c r="V11" s="289"/>
      <c r="W11" s="289"/>
      <c r="X11" s="91"/>
    </row>
    <row r="12" spans="2:25" ht="21" customHeight="1" thickBot="1" x14ac:dyDescent="0.45">
      <c r="B12" s="10" t="s">
        <v>72</v>
      </c>
      <c r="C12" s="544" t="str">
        <f>IF(I8="","",L8)</f>
        <v>einhundertvierundvierzig</v>
      </c>
      <c r="D12" s="544"/>
      <c r="E12" s="544"/>
      <c r="H12" s="273" t="str">
        <f>+intern_Datenblatt!A20</f>
        <v>Datum</v>
      </c>
      <c r="I12" s="369">
        <f ca="1">DATE(YEAR(TODAY()),12,3)</f>
        <v>44168</v>
      </c>
      <c r="K12" s="289"/>
      <c r="L12" s="289"/>
      <c r="M12" s="289"/>
      <c r="N12" s="289"/>
      <c r="O12" s="289"/>
      <c r="P12" s="289"/>
      <c r="Q12" s="300">
        <f>ABS(100*(MOD(L6,1)-(L6&lt;0)))</f>
        <v>0</v>
      </c>
      <c r="R12" s="289"/>
      <c r="S12" s="289"/>
      <c r="T12" s="289"/>
      <c r="U12" s="289"/>
      <c r="V12" s="289"/>
      <c r="W12" s="289"/>
      <c r="X12" s="91"/>
    </row>
    <row r="13" spans="2:25" ht="21" customHeight="1" x14ac:dyDescent="0.4">
      <c r="B13" s="10" t="s">
        <v>73</v>
      </c>
      <c r="C13" s="538" t="str">
        <f>IF(I6="","",I6)</f>
        <v>Maria Bauer</v>
      </c>
      <c r="D13" s="538"/>
      <c r="E13" s="538"/>
      <c r="H13" s="273" t="str">
        <f>+intern_Datenblatt!A70</f>
        <v>Unterschrift</v>
      </c>
      <c r="I13" s="370" t="s">
        <v>451</v>
      </c>
      <c r="K13" s="289"/>
      <c r="L13" s="301">
        <f>VALUE(RIGHT(INT(ABS(L6)/100000000)))</f>
        <v>0</v>
      </c>
      <c r="M13" s="289" t="str">
        <f>IF(L13=1,"ein",IF(L13=2,"zwei",IF(L13=3,"drei",IF(L13=4,"vier",IF(L13=5,"fünf",IF(L13=6,"sechs",IF(L13=7,"sieben",IF(L13=8,"acht","neun"))))))))&amp;"hundert"&amp;IF(AND(L14=0,L15=0),"millionen","")</f>
        <v>neunhundertmillionen</v>
      </c>
      <c r="N13" s="289"/>
      <c r="O13" s="289"/>
      <c r="P13" s="289"/>
      <c r="Q13" s="289">
        <f>ROUND(100*(ABS(L6)-INT(ABS(L6))),0)</f>
        <v>0</v>
      </c>
      <c r="R13" s="289"/>
      <c r="S13" s="289"/>
      <c r="T13" s="289"/>
      <c r="U13" s="289"/>
      <c r="V13" s="289"/>
      <c r="W13" s="289"/>
      <c r="X13" s="91"/>
    </row>
    <row r="14" spans="2:25" ht="21" customHeight="1" x14ac:dyDescent="0.4">
      <c r="C14" s="537" t="str">
        <f>IF(I7="","",I7)</f>
        <v>6020 Innsbruck</v>
      </c>
      <c r="D14" s="538"/>
      <c r="E14" s="538"/>
      <c r="K14" s="289"/>
      <c r="L14" s="301">
        <f>VALUE(RIGHT(INT(ABS(L6)/10000000)))</f>
        <v>0</v>
      </c>
      <c r="M14" s="289" t="str">
        <f>IF(L14=1,"zehn",IF(L14=2,"zwanzig",IF(L14=3,"dreißig",IF(L14=4,"vierzig",IF(L14=5,"fünfzig",IF(L14=6,"sechzig",IF(L14=7,"siebzig",IF(L14=8,"achtzig","neunzig"))))))))</f>
        <v>neunzig</v>
      </c>
      <c r="N14" s="289" t="str">
        <f>IF(AND(L14=0,L15=1),"einemillion",IF(AND(L14=1,L15=1),"elf",IF(AND(L14=1,L15=2),"zwölf",IF(AND(L14=1,L15=6),"sechzehn",IF(AND(L14=1,L15=7),"siebzehn",IF(L15=0,M14,IF(L14=0,M15,M15&amp;IF(L14&gt;1,"und","")&amp;M14))))))&amp;"millionen")</f>
        <v>neunzigmillionen</v>
      </c>
      <c r="O14" s="289"/>
      <c r="P14" s="289"/>
      <c r="Q14" s="289"/>
      <c r="R14" s="289"/>
      <c r="S14" s="289"/>
      <c r="T14" s="289"/>
      <c r="U14" s="289"/>
      <c r="V14" s="289"/>
      <c r="W14" s="289"/>
      <c r="X14" s="91"/>
    </row>
    <row r="15" spans="2:25" ht="21" customHeight="1" x14ac:dyDescent="0.4">
      <c r="B15" s="10" t="s">
        <v>74</v>
      </c>
      <c r="C15" s="537" t="str">
        <f>IF(I10="","",I10)</f>
        <v>Miete Lagerraum Dezember</v>
      </c>
      <c r="D15" s="538"/>
      <c r="E15" s="538"/>
      <c r="K15" s="289"/>
      <c r="L15" s="301">
        <f>VALUE(RIGHT(INT(ABS(L6)/1000000)))</f>
        <v>0</v>
      </c>
      <c r="M15" s="289" t="str">
        <f>IF(L15=1,"ein",IF(L15=2,"zwei",IF(L15=3,"drei",IF(L15=4,"vier",IF(L15=5,"fünf",IF(L15=6,"sechs",IF(L15=7,"sieben",IF(L15=8,"acht","neun"))))))))</f>
        <v>neun</v>
      </c>
      <c r="N15" s="289"/>
      <c r="O15" s="289"/>
      <c r="P15" s="289"/>
      <c r="Q15" s="289"/>
      <c r="R15" s="289"/>
      <c r="S15" s="289"/>
      <c r="T15" s="289"/>
      <c r="U15" s="289"/>
      <c r="V15" s="289"/>
      <c r="W15" s="289"/>
      <c r="X15" s="91"/>
    </row>
    <row r="16" spans="2:25" ht="7.5" customHeight="1" x14ac:dyDescent="0.3">
      <c r="B16" s="2"/>
      <c r="C16" s="2"/>
      <c r="D16" s="2"/>
      <c r="K16" s="289"/>
      <c r="L16" s="301">
        <f>VALUE(RIGHT(INT(ABS(L6)/100000)))</f>
        <v>0</v>
      </c>
      <c r="M16" s="289" t="str">
        <f>IF(L16=1,"ein",IF(L16=2,"zwei",IF(L16=3,"drei",IF(L16=4,"vier",IF(L16=5,"fünf",IF(L16=6,"sechs",IF(L16=7,"sieben",IF(L16=8,"acht","neun"))))))))&amp;"hundert"&amp;IF(AND(L17=0,L18=0),"tausend","")</f>
        <v>neunhunderttausend</v>
      </c>
      <c r="N16" s="289"/>
      <c r="O16" s="289"/>
      <c r="P16" s="289"/>
      <c r="Q16" s="289"/>
      <c r="R16" s="289"/>
      <c r="S16" s="289"/>
      <c r="T16" s="289"/>
      <c r="U16" s="289"/>
      <c r="V16" s="289"/>
      <c r="W16" s="289"/>
      <c r="X16" s="91"/>
    </row>
    <row r="17" spans="2:24" ht="21" x14ac:dyDescent="0.4">
      <c r="B17" s="388" t="str">
        <f>IF(I11="","",I11)</f>
        <v>Innsbruck</v>
      </c>
      <c r="C17" s="380">
        <f ca="1">IF(I12="","",I12)</f>
        <v>44168</v>
      </c>
      <c r="D17" s="540" t="str">
        <f>IF(I13="","",I13)</f>
        <v>Sylvia Kompiller</v>
      </c>
      <c r="E17" s="540"/>
      <c r="K17" s="289"/>
      <c r="L17" s="301">
        <f>VALUE(RIGHT(INT(ABS(L6)/10000)))</f>
        <v>0</v>
      </c>
      <c r="M17" s="289" t="str">
        <f>IF(L17=1,"zehn",IF(L17=2,"zwanzig",IF(L17=3,"dreißig",IF(L17=4,"vierzig",IF(L17=5,"fünfzig",IF(L17=6,"sechzig",IF(L17=7,"siebzig",IF(L17=8,"achtzig","neunzig"))))))))</f>
        <v>neunzig</v>
      </c>
      <c r="N17" s="289" t="str">
        <f>IF(AND(L17=1,L18=1),"elf",IF(AND(L17=1,L18=2),"zwölf",IF(AND(L17=1,L18=6),"sechzehn",IF(AND(L17=1,L18=7),"siebzehn",IF(L18=0,M17,IF(L17=0,M18,M18&amp;IF(L17&gt;1,"und","")&amp;M17))))))&amp;"tausend"</f>
        <v>neunzigtausend</v>
      </c>
      <c r="O17" s="289"/>
      <c r="P17" s="289"/>
      <c r="Q17" s="289"/>
      <c r="R17" s="289"/>
      <c r="S17" s="289"/>
      <c r="T17" s="289"/>
      <c r="U17" s="289"/>
      <c r="V17" s="289"/>
      <c r="W17" s="289"/>
      <c r="X17" s="91"/>
    </row>
    <row r="18" spans="2:24" ht="16.5" x14ac:dyDescent="0.3">
      <c r="B18" s="17" t="str">
        <f>+H11</f>
        <v>Ort</v>
      </c>
      <c r="C18" s="17" t="str">
        <f>H12</f>
        <v>Datum</v>
      </c>
      <c r="D18" s="541" t="str">
        <f>+H13</f>
        <v>Unterschrift</v>
      </c>
      <c r="E18" s="541"/>
      <c r="K18" s="289"/>
      <c r="L18" s="301">
        <f>VALUE(RIGHT(INT(ABS(L6)/1000)))</f>
        <v>0</v>
      </c>
      <c r="M18" s="289" t="str">
        <f>IF(L18=1,"ein",IF(L18=2,"zwei",IF(L18=3,"drei",IF(L18=4,"vier",IF(L18=5,"fünf",IF(L18=6,"sechs",IF(L18=7,"sieben",IF(L18=8,"acht","neun"))))))))</f>
        <v>neun</v>
      </c>
      <c r="N18" s="289"/>
      <c r="O18" s="289"/>
      <c r="P18" s="289"/>
      <c r="Q18" s="289"/>
      <c r="R18" s="289"/>
      <c r="S18" s="289"/>
      <c r="T18" s="289"/>
      <c r="U18" s="289"/>
      <c r="V18" s="289"/>
      <c r="W18" s="289"/>
      <c r="X18" s="91"/>
    </row>
    <row r="19" spans="2:24" ht="15" customHeight="1" x14ac:dyDescent="0.3">
      <c r="K19" s="289"/>
      <c r="L19" s="301">
        <f>VALUE(RIGHT(INT(ABS(L6)/100)))</f>
        <v>1</v>
      </c>
      <c r="M19" s="289" t="str">
        <f>IF(L19=1,"ein",IF(L19=2,"zwei",IF(L19=3,"drei",IF(L19=4,"vier",IF(L19=5,"fünf",IF(L19=6,"sechs",IF(L19=7,"sieben",IF(L19=8,"acht","neun"))))))))&amp;"hundert"</f>
        <v>einhundert</v>
      </c>
      <c r="N19" s="289"/>
      <c r="O19" s="289"/>
      <c r="P19" s="302">
        <f>IF(K8=0,0,ROUND(100*(ABS(L6)-INT(ABS(L6))),0))</f>
        <v>0</v>
      </c>
      <c r="Q19" s="289"/>
      <c r="R19" s="289" t="str">
        <f>TEXT(P19,"   00")&amp;"/100"</f>
        <v xml:space="preserve">   00/100</v>
      </c>
      <c r="S19" s="289"/>
      <c r="T19" s="289"/>
      <c r="U19" s="289"/>
      <c r="V19" s="289"/>
      <c r="W19" s="289"/>
      <c r="X19" s="91"/>
    </row>
    <row r="20" spans="2:24" ht="16.5" x14ac:dyDescent="0.3">
      <c r="K20" s="289"/>
      <c r="L20" s="301">
        <f>VALUE(RIGHT(INT(ABS(L6)/10)))</f>
        <v>4</v>
      </c>
      <c r="M20" s="289" t="str">
        <f>IF(L20=1,"zehn",IF(L20=2,"zwanzig",IF(L20=3,"dreißig",IF(L20=4,"vierzig",IF(L20=5,"fünfzig",IF(L20=6,"sechzig",IF(L20=7,"siebzig",IF(L20=8,"achtzig","neunzig"))))))))</f>
        <v>vierzig</v>
      </c>
      <c r="N20" s="289" t="str">
        <f>IF(AND(L20=1,L21=1),"elf",IF(AND(L20=1,L21=2),"zwölf",IF(AND(L20=1,L21=6),"sechzehn",IF(AND(L20=1,L21=7),"siebzehn",IF(L21=0,M20,IF(L20=0,M21,M21&amp;IF(L20&gt;1,"und","")&amp;M20))))))</f>
        <v>vierundvierzig</v>
      </c>
      <c r="O20" s="289"/>
      <c r="P20" s="301">
        <f>VALUE(RIGHT(INT(ABS(P19)/10)))</f>
        <v>0</v>
      </c>
      <c r="Q20" s="289" t="str">
        <f>IF(P20=1,"zehn",IF(P20=2,"zwanzig",IF(P20=3,"dreißig",IF(P20=4,"vierzig",IF(P20=5,"fünfzig",IF(P20=6,"sechzig",IF(P20=7,"siebzig",IF(P20=8,"achtzig","neunzig"))))))))</f>
        <v>neunzig</v>
      </c>
      <c r="R20" s="289" t="str">
        <f>"    Komma "&amp;IF(P19&lt;10,"null ","")&amp;IF(P19=1,"eins",IF(AND(P20=1,P21=1),"elf",IF(AND(P20=1,P21=2),"zwölf",IF(AND(P20=1,P21=6),"sechzehn",IF(AND(P20=1,P21=7),"siebzehn",IF(P21=0,Q20,IF(P20=0,Q21,Q21&amp;IF(P20&gt;1,"und","")&amp;Q20)))))))</f>
        <v xml:space="preserve">    Komma null neunzig</v>
      </c>
      <c r="S20" s="289"/>
      <c r="T20" s="289"/>
      <c r="U20" s="289"/>
      <c r="V20" s="289"/>
      <c r="W20" s="289"/>
      <c r="X20" s="91"/>
    </row>
    <row r="21" spans="2:24" ht="16.5" x14ac:dyDescent="0.3">
      <c r="K21" s="289"/>
      <c r="L21" s="301">
        <f>VALUE(RIGHT(INT(ABS(L6))))</f>
        <v>4</v>
      </c>
      <c r="M21" s="289" t="str">
        <f>IF(L21=1,"ein",IF(L21=2,"zwei",IF(L21=3,"drei",IF(L21=4,"vier",IF(L21=5,"fünf",IF(L21=6,"sechs",IF(L21=7,"sieben",IF(L21=8,"acht","neun"))))))))</f>
        <v>vier</v>
      </c>
      <c r="N21" s="289"/>
      <c r="O21" s="289"/>
      <c r="P21" s="301">
        <f>VALUE(RIGHT(INT(ABS(P19))))</f>
        <v>0</v>
      </c>
      <c r="Q21" s="289" t="str">
        <f>IF(P21=1,"ein",IF(P21=2,"zwei",IF(P21=3,"drei",IF(P21=4,"vier",IF(P21=5,"fünf",IF(P21=6,"sechs",IF(P21=7,"sieben",IF(P21=8,"acht","neun"))))))))</f>
        <v>neun</v>
      </c>
      <c r="R21" s="289"/>
      <c r="S21" s="289"/>
      <c r="T21" s="289"/>
      <c r="U21" s="289"/>
      <c r="V21" s="289"/>
      <c r="W21" s="289"/>
      <c r="X21" s="91"/>
    </row>
  </sheetData>
  <sheetProtection algorithmName="SHA-512" hashValue="DQsgRwYqe2QJOUUuznrYRi+KnBNVsi2kjZZ8yUHBbAUuK5eaGeN7SbXPwyUrT/XD/ZrJufuViEKl1COaqiNU2w==" saltValue="SyH4At6CrykwyAC9Prgjuw==" spinCount="100000" sheet="1" objects="1" scenarios="1" selectLockedCells="1"/>
  <mergeCells count="11">
    <mergeCell ref="D18:E18"/>
    <mergeCell ref="C6:D6"/>
    <mergeCell ref="C10:D10"/>
    <mergeCell ref="C12:E12"/>
    <mergeCell ref="C13:E13"/>
    <mergeCell ref="V1:V2"/>
    <mergeCell ref="C14:E14"/>
    <mergeCell ref="C4:D4"/>
    <mergeCell ref="C15:E15"/>
    <mergeCell ref="D17:E17"/>
    <mergeCell ref="H1:I1"/>
  </mergeCells>
  <conditionalFormatting sqref="B4">
    <cfRule type="expression" dxfId="2" priority="23">
      <formula>$I$4="Ausgang"</formula>
    </cfRule>
  </conditionalFormatting>
  <conditionalFormatting sqref="E4">
    <cfRule type="expression" dxfId="1" priority="24">
      <formula>$I$4="Eingang"</formula>
    </cfRule>
  </conditionalFormatting>
  <conditionalFormatting sqref="B8 E6 E8 B6">
    <cfRule type="expression" dxfId="0" priority="33">
      <formula>$I$9=0</formula>
    </cfRule>
  </conditionalFormatting>
  <dataValidations count="2">
    <dataValidation type="list" allowBlank="1" showInputMessage="1" showErrorMessage="1" sqref="I9">
      <formula1>USt_vollständig</formula1>
    </dataValidation>
    <dataValidation type="list" allowBlank="1" showInputMessage="1" showErrorMessage="1" sqref="I4">
      <formula1>Belegauswahl</formula1>
    </dataValidation>
  </dataValidations>
  <hyperlinks>
    <hyperlink ref="V1" location="Belegverwaltung!Druckbereich" display="Zurück zur Belegverwaltung"/>
    <hyperlink ref="V1:V2" location="Belegverwaltung!A1" display="Zurück zur Belegverwaltung"/>
  </hyperlinks>
  <pageMargins left="0.70866141732283472" right="0.70866141732283472" top="0.78740157480314965" bottom="0.78740157480314965" header="0.31496062992125984" footer="0.31496062992125984"/>
  <pageSetup paperSize="9" orientation="portrait" horizontalDpi="300" verticalDpi="30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81"/>
  <dimension ref="B1:Q41"/>
  <sheetViews>
    <sheetView showGridLines="0" showRowColHeaders="0" zoomScaleNormal="100" workbookViewId="0">
      <selection activeCell="K3" sqref="K3:M3"/>
    </sheetView>
  </sheetViews>
  <sheetFormatPr baseColWidth="10" defaultRowHeight="15" x14ac:dyDescent="0.3"/>
  <cols>
    <col min="1" max="1" width="4.42578125" style="1" customWidth="1"/>
    <col min="2" max="2" width="4.42578125" style="119" customWidth="1"/>
    <col min="3" max="3" width="15.7109375" style="119" customWidth="1"/>
    <col min="4" max="4" width="6.28515625" style="119" customWidth="1"/>
    <col min="5" max="5" width="6" style="119" bestFit="1" customWidth="1"/>
    <col min="6" max="6" width="6.7109375" style="119" bestFit="1" customWidth="1"/>
    <col min="7" max="7" width="8.140625" style="119" customWidth="1"/>
    <col min="8" max="8" width="3.5703125" style="119" customWidth="1"/>
    <col min="9" max="9" width="10.7109375" style="1" customWidth="1"/>
    <col min="10" max="10" width="28.85546875" style="268" customWidth="1"/>
    <col min="11" max="11" width="6.5703125" style="268" customWidth="1"/>
    <col min="12" max="12" width="16.5703125" style="268" customWidth="1"/>
    <col min="13" max="13" width="10.140625" style="268" customWidth="1"/>
    <col min="14" max="14" width="6.28515625" style="268" customWidth="1"/>
    <col min="15" max="15" width="34.7109375" style="268" customWidth="1"/>
    <col min="16" max="16" width="11.42578125" style="268"/>
    <col min="17" max="16384" width="11.42578125" style="1"/>
  </cols>
  <sheetData>
    <row r="1" spans="2:15" ht="30" customHeight="1" x14ac:dyDescent="0.35">
      <c r="I1" s="2"/>
      <c r="J1" s="563" t="str">
        <f>intern_Datenblatt!B1</f>
        <v>Verändern Sie hier den Beleg:</v>
      </c>
      <c r="K1" s="563"/>
      <c r="L1" s="563"/>
      <c r="M1" s="563"/>
      <c r="O1" s="481" t="str">
        <f>intern_Datenblatt!B3</f>
        <v>Zurück zur Belegverwaltung</v>
      </c>
    </row>
    <row r="2" spans="2:15" ht="18" customHeight="1" x14ac:dyDescent="0.3">
      <c r="B2" s="120"/>
      <c r="C2" s="121"/>
      <c r="D2" s="121"/>
      <c r="E2" s="121"/>
      <c r="F2" s="121"/>
      <c r="G2" s="121"/>
      <c r="H2" s="122"/>
      <c r="I2" s="2"/>
      <c r="K2" s="269"/>
      <c r="O2" s="481"/>
    </row>
    <row r="3" spans="2:15" ht="16.5" customHeight="1" thickBot="1" x14ac:dyDescent="0.35">
      <c r="B3" s="123"/>
      <c r="C3" s="547" t="str">
        <f>UPPER(K3)</f>
        <v>ALLES BÜRO KG</v>
      </c>
      <c r="D3" s="547"/>
      <c r="E3" s="547"/>
      <c r="F3" s="547"/>
      <c r="G3" s="547"/>
      <c r="H3" s="124"/>
      <c r="I3" s="20"/>
      <c r="J3" s="310" t="str">
        <f>intern_Datenblatt!A27</f>
        <v>Geschäftsbezeichnung</v>
      </c>
      <c r="K3" s="510" t="s">
        <v>452</v>
      </c>
      <c r="L3" s="510"/>
      <c r="M3" s="510"/>
    </row>
    <row r="4" spans="2:15" ht="16.5" customHeight="1" thickBot="1" x14ac:dyDescent="0.35">
      <c r="B4" s="123"/>
      <c r="C4" s="547"/>
      <c r="D4" s="547"/>
      <c r="E4" s="547"/>
      <c r="F4" s="547"/>
      <c r="G4" s="547"/>
      <c r="H4" s="124"/>
      <c r="I4" s="40"/>
      <c r="J4" s="273" t="str">
        <f>intern_Datenblatt!A62</f>
        <v>Slogan</v>
      </c>
      <c r="K4" s="562" t="s">
        <v>453</v>
      </c>
      <c r="L4" s="562"/>
      <c r="M4" s="562"/>
      <c r="O4" s="407" t="str">
        <f>intern_Datenblatt!B4</f>
        <v>Beleg kopieren</v>
      </c>
    </row>
    <row r="5" spans="2:15" ht="16.5" customHeight="1" thickBot="1" x14ac:dyDescent="0.35">
      <c r="B5" s="123"/>
      <c r="C5" s="546" t="str">
        <f>+UPPER(K4)</f>
        <v>BÜRO- UND SCHREIBWARENFACHHANDEL</v>
      </c>
      <c r="D5" s="546"/>
      <c r="E5" s="546"/>
      <c r="F5" s="546"/>
      <c r="G5" s="546"/>
      <c r="H5" s="124"/>
      <c r="I5" s="40"/>
      <c r="J5" s="310" t="str">
        <f>intern_Datenblatt!A64</f>
        <v>Straße</v>
      </c>
      <c r="K5" s="511" t="s">
        <v>454</v>
      </c>
      <c r="L5" s="511"/>
      <c r="M5" s="511"/>
    </row>
    <row r="6" spans="2:15" ht="16.5" customHeight="1" thickBot="1" x14ac:dyDescent="0.35">
      <c r="B6" s="123"/>
      <c r="C6" s="545"/>
      <c r="D6" s="545"/>
      <c r="E6" s="545"/>
      <c r="F6" s="545"/>
      <c r="G6" s="545"/>
      <c r="H6" s="124"/>
      <c r="I6" s="40"/>
      <c r="J6" s="310" t="str">
        <f>intern_Datenblatt!A51</f>
        <v>PLZ und Ort</v>
      </c>
      <c r="K6" s="511" t="s">
        <v>429</v>
      </c>
      <c r="L6" s="511"/>
      <c r="M6" s="511"/>
    </row>
    <row r="7" spans="2:15" ht="16.5" customHeight="1" thickBot="1" x14ac:dyDescent="0.35">
      <c r="B7" s="123"/>
      <c r="C7" s="549" t="str">
        <f>IF(K9="","",CONCATENATE(J9,": ",K9))</f>
        <v>Kassier/in: Fr. Inge</v>
      </c>
      <c r="D7" s="549"/>
      <c r="E7" s="125" t="str">
        <f>+intern_Datenblatt!A60</f>
        <v>Re-Nr.</v>
      </c>
      <c r="F7" s="548" t="str">
        <f ca="1">+CONCATENATE("0110-02-",RANDBETWEEN(1000,9999))</f>
        <v>0110-02-5272</v>
      </c>
      <c r="G7" s="548"/>
      <c r="H7" s="151"/>
      <c r="I7" s="2"/>
      <c r="J7" s="310" t="str">
        <f>intern_Datenblatt!A66</f>
        <v>Telefon</v>
      </c>
      <c r="K7" s="512" t="s">
        <v>455</v>
      </c>
      <c r="L7" s="512"/>
      <c r="M7" s="512"/>
    </row>
    <row r="8" spans="2:15" ht="16.5" customHeight="1" thickBot="1" x14ac:dyDescent="0.35">
      <c r="B8" s="123"/>
      <c r="C8" s="125"/>
      <c r="D8" s="125"/>
      <c r="E8" s="125"/>
      <c r="F8" s="125"/>
      <c r="G8" s="125"/>
      <c r="H8" s="124"/>
      <c r="I8" s="41"/>
      <c r="J8" s="310" t="str">
        <f>+intern_Datenblatt!A68</f>
        <v>UID-Nr.</v>
      </c>
      <c r="K8" s="512" t="s">
        <v>456</v>
      </c>
      <c r="L8" s="512"/>
      <c r="M8" s="512"/>
    </row>
    <row r="9" spans="2:15" ht="16.5" customHeight="1" thickBot="1" x14ac:dyDescent="0.35">
      <c r="B9" s="123"/>
      <c r="C9" s="555" t="str">
        <f>UPPER(IF(J14="","",J14))</f>
        <v>KASSA THERMOROLLEN 6ER</v>
      </c>
      <c r="D9" s="555"/>
      <c r="E9" s="555"/>
      <c r="F9" s="111" t="str">
        <f>IF(M14=20,"C",IF(M14=10,"B",""))</f>
        <v>C</v>
      </c>
      <c r="G9" s="149">
        <f>IF(L14="","",L14)</f>
        <v>6.9</v>
      </c>
      <c r="H9" s="124"/>
      <c r="I9" s="42"/>
      <c r="J9" s="310" t="str">
        <f>+intern_Datenblatt!A37</f>
        <v>Kassier/in</v>
      </c>
      <c r="K9" s="504" t="s">
        <v>457</v>
      </c>
      <c r="L9" s="504"/>
      <c r="M9" s="504"/>
    </row>
    <row r="10" spans="2:15" ht="16.5" customHeight="1" thickBot="1" x14ac:dyDescent="0.35">
      <c r="B10" s="123"/>
      <c r="C10" s="555" t="str">
        <f>UPPER(IF(J15="","",J15))</f>
        <v>BUCHKALENDER A4</v>
      </c>
      <c r="D10" s="555"/>
      <c r="E10" s="555"/>
      <c r="F10" s="111" t="str">
        <f>IF(M15=20,"C",IF(M15=10,"B",""))</f>
        <v>C</v>
      </c>
      <c r="G10" s="149">
        <f>IF(L15="","",L15)</f>
        <v>17.899999999999999</v>
      </c>
      <c r="H10" s="124"/>
      <c r="I10" s="42"/>
      <c r="J10" s="310" t="str">
        <f>intern_Datenblatt!A20</f>
        <v>Datum</v>
      </c>
      <c r="K10" s="506">
        <f ca="1">DATE(YEAR(TODAY()),12,14)</f>
        <v>44179</v>
      </c>
      <c r="L10" s="506"/>
      <c r="M10" s="506"/>
      <c r="O10" s="311"/>
    </row>
    <row r="11" spans="2:15" ht="16.5" customHeight="1" x14ac:dyDescent="0.3">
      <c r="B11" s="123"/>
      <c r="C11" s="555" t="str">
        <f>UPPER(IF(J16="","",J16))</f>
        <v>COLLEGEBLOCK KARIERT</v>
      </c>
      <c r="D11" s="555"/>
      <c r="E11" s="555"/>
      <c r="F11" s="111" t="str">
        <f>IF(M16=20,"C",IF(M16=10,"B",""))</f>
        <v>C</v>
      </c>
      <c r="G11" s="149">
        <f>IF(L16="","",L16)</f>
        <v>2.99</v>
      </c>
      <c r="H11" s="124"/>
      <c r="I11" s="42"/>
      <c r="J11" s="310" t="str">
        <f>+intern_Datenblatt!A75</f>
        <v>Auswahl Zahlungsart</v>
      </c>
      <c r="K11" s="505" t="s">
        <v>36</v>
      </c>
      <c r="L11" s="505"/>
      <c r="M11" s="505"/>
      <c r="O11" s="314" t="str">
        <f>IF(K11="AUF ZIEL","NEIN","JA")</f>
        <v>JA</v>
      </c>
    </row>
    <row r="12" spans="2:15" ht="16.5" customHeight="1" x14ac:dyDescent="0.3">
      <c r="B12" s="123"/>
      <c r="C12" s="555" t="str">
        <f>UPPER(IF(J17="","",J17))</f>
        <v>BIC KUGELSCHREIBER ATLANTIS SET</v>
      </c>
      <c r="D12" s="555"/>
      <c r="E12" s="555"/>
      <c r="F12" s="111" t="str">
        <f>IF(M17=20,"C",IF(M17=10,"B",""))</f>
        <v>C</v>
      </c>
      <c r="G12" s="149">
        <f>IF(L17="","",L17)</f>
        <v>3.99</v>
      </c>
      <c r="H12" s="124"/>
      <c r="I12" s="20"/>
    </row>
    <row r="13" spans="2:15" ht="16.5" customHeight="1" x14ac:dyDescent="0.3">
      <c r="B13" s="123"/>
      <c r="C13" s="555" t="str">
        <f>UPPER(IF(J18="","",J18))</f>
        <v/>
      </c>
      <c r="D13" s="555"/>
      <c r="E13" s="555"/>
      <c r="F13" s="111" t="str">
        <f>IF(M18=20,"C",IF(M18=10,"B",""))</f>
        <v/>
      </c>
      <c r="G13" s="149" t="str">
        <f>IF(L18="","",L18)</f>
        <v/>
      </c>
      <c r="H13" s="124"/>
      <c r="I13" s="43"/>
      <c r="J13" s="559" t="str">
        <f>intern_Datenblatt!A17</f>
        <v>Bezeichnung</v>
      </c>
      <c r="K13" s="559"/>
      <c r="L13" s="274" t="str">
        <f>intern_Datenblatt!A54</f>
        <v>Preis</v>
      </c>
      <c r="M13" s="460" t="str">
        <f>intern_Datenblatt!A72</f>
        <v>USt %</v>
      </c>
    </row>
    <row r="14" spans="2:15" ht="16.5" customHeight="1" thickBot="1" x14ac:dyDescent="0.35">
      <c r="B14" s="123"/>
      <c r="C14" s="558" t="s">
        <v>85</v>
      </c>
      <c r="D14" s="558"/>
      <c r="E14" s="558"/>
      <c r="F14" s="148" t="s">
        <v>26</v>
      </c>
      <c r="G14" s="234">
        <f>SUM(G9:G13)</f>
        <v>31.78</v>
      </c>
      <c r="H14" s="124"/>
      <c r="I14" s="43"/>
      <c r="J14" s="560" t="s">
        <v>458</v>
      </c>
      <c r="K14" s="560"/>
      <c r="L14" s="356">
        <v>6.9</v>
      </c>
      <c r="M14" s="349">
        <v>20</v>
      </c>
    </row>
    <row r="15" spans="2:15" ht="16.5" customHeight="1" thickTop="1" thickBot="1" x14ac:dyDescent="0.35">
      <c r="B15" s="123"/>
      <c r="C15" s="125"/>
      <c r="D15" s="125"/>
      <c r="E15" s="125"/>
      <c r="F15" s="125"/>
      <c r="G15" s="149"/>
      <c r="H15" s="124"/>
      <c r="I15" s="43"/>
      <c r="J15" s="556" t="s">
        <v>460</v>
      </c>
      <c r="K15" s="556"/>
      <c r="L15" s="357">
        <v>17.899999999999999</v>
      </c>
      <c r="M15" s="351">
        <v>20</v>
      </c>
    </row>
    <row r="16" spans="2:15" ht="16.5" customHeight="1" thickBot="1" x14ac:dyDescent="0.35">
      <c r="B16" s="123"/>
      <c r="C16" s="555" t="str">
        <f>+CONCATENATE("Gegeben ",IF(K11="BAR","BAR","Karte"))</f>
        <v>Gegeben BAR</v>
      </c>
      <c r="D16" s="555"/>
      <c r="E16" s="555"/>
      <c r="F16" s="125"/>
      <c r="G16" s="235">
        <f>+G14</f>
        <v>31.78</v>
      </c>
      <c r="H16" s="124"/>
      <c r="I16" s="44"/>
      <c r="J16" s="556" t="s">
        <v>139</v>
      </c>
      <c r="K16" s="556"/>
      <c r="L16" s="357">
        <v>2.99</v>
      </c>
      <c r="M16" s="351">
        <v>20</v>
      </c>
    </row>
    <row r="17" spans="2:17" ht="16.5" customHeight="1" thickBot="1" x14ac:dyDescent="0.35">
      <c r="B17" s="123"/>
      <c r="C17" s="554" t="str">
        <f>+IF(K11="BAR","",K11)</f>
        <v/>
      </c>
      <c r="D17" s="554"/>
      <c r="E17" s="554"/>
      <c r="F17" s="554"/>
      <c r="G17" s="554"/>
      <c r="H17" s="124"/>
      <c r="I17" s="45"/>
      <c r="J17" s="556" t="s">
        <v>459</v>
      </c>
      <c r="K17" s="556"/>
      <c r="L17" s="357">
        <v>3.99</v>
      </c>
      <c r="M17" s="351">
        <v>20</v>
      </c>
    </row>
    <row r="18" spans="2:17" ht="16.5" customHeight="1" x14ac:dyDescent="0.3">
      <c r="B18" s="123"/>
      <c r="C18" s="552" t="str">
        <f>IF(C17="","Auf Geschenkboxen und elektr. Ladebons kein Umtausch möglich.","BEZAHLT")</f>
        <v>Auf Geschenkboxen und elektr. Ladebons kein Umtausch möglich.</v>
      </c>
      <c r="D18" s="552"/>
      <c r="E18" s="552"/>
      <c r="F18" s="552"/>
      <c r="G18" s="552"/>
      <c r="H18" s="143"/>
      <c r="I18" s="99"/>
      <c r="J18" s="557"/>
      <c r="K18" s="557"/>
      <c r="L18" s="358"/>
      <c r="M18" s="353"/>
    </row>
    <row r="19" spans="2:17" ht="16.5" customHeight="1" x14ac:dyDescent="0.3">
      <c r="B19" s="123"/>
      <c r="C19" s="150" t="str">
        <f>IF($C$17="","Kundennr. 454985","")</f>
        <v>Kundennr. 454985</v>
      </c>
      <c r="D19" s="147" t="str">
        <f>IF($C$17="","",$K$10/3)</f>
        <v/>
      </c>
      <c r="E19" s="104" t="str">
        <f>IF($C$17="","",$K$10*56)</f>
        <v/>
      </c>
      <c r="F19" s="146" t="str">
        <f>IF(K11="BAR","",K10)</f>
        <v/>
      </c>
      <c r="G19" s="145" t="str">
        <f>IF($C$17="","",$K$10*561)</f>
        <v/>
      </c>
      <c r="H19" s="143"/>
      <c r="I19" s="103"/>
      <c r="J19" s="312"/>
      <c r="K19" s="312"/>
    </row>
    <row r="20" spans="2:17" x14ac:dyDescent="0.3">
      <c r="B20" s="123"/>
      <c r="C20" s="457" t="str">
        <f>IF($C$17="",Belegverwaltung!E11,"")</f>
        <v>Maria Bauer e.U.</v>
      </c>
      <c r="D20" s="552" t="str">
        <f ca="1">IF($C$17="","",CONCATENATE("EA00000000",RANDBETWEEN(12345,"98765")))</f>
        <v/>
      </c>
      <c r="E20" s="552"/>
      <c r="F20" s="552"/>
      <c r="G20" s="552"/>
      <c r="H20" s="124"/>
      <c r="I20" s="103"/>
      <c r="J20" s="312"/>
      <c r="K20" s="312"/>
      <c r="P20" s="263"/>
      <c r="Q20" s="112"/>
    </row>
    <row r="21" spans="2:17" x14ac:dyDescent="0.3">
      <c r="B21" s="123"/>
      <c r="C21" s="457" t="str">
        <f>IF($C$17="",Belegverwaltung!E15,"")</f>
        <v>Sonnenburgstraße 9</v>
      </c>
      <c r="D21" s="551" t="str">
        <f>IF($C$17="","",IF($C$17="MAESTRO","PAN: ","Karte:"))</f>
        <v/>
      </c>
      <c r="E21" s="551"/>
      <c r="F21" s="552" t="str">
        <f>IF($C$17="","",IF($C$17="MAESTRO","**** **** **** 2569"," **** **** **** 2569"))</f>
        <v/>
      </c>
      <c r="G21" s="552"/>
      <c r="H21" s="143"/>
      <c r="I21" s="101"/>
      <c r="J21" s="263"/>
      <c r="K21" s="273"/>
      <c r="P21" s="263"/>
      <c r="Q21" s="112"/>
    </row>
    <row r="22" spans="2:17" x14ac:dyDescent="0.3">
      <c r="B22" s="123"/>
      <c r="C22" s="457" t="str">
        <f>IF($C$17="",Belegverwaltung!E17,"")</f>
        <v>6020 Innsbruck</v>
      </c>
      <c r="D22" s="551" t="str">
        <f>IF($C$17="","",IF($C$17="MAESTRO","","Gültig bis:"))</f>
        <v/>
      </c>
      <c r="E22" s="551"/>
      <c r="F22" s="553" t="str">
        <f>IF($C$17="","",IF($C$17="MAESTRO","",K10+258))</f>
        <v/>
      </c>
      <c r="G22" s="553"/>
      <c r="H22" s="144"/>
      <c r="I22" s="103"/>
      <c r="J22" s="263"/>
      <c r="K22" s="273"/>
    </row>
    <row r="23" spans="2:17" ht="6.75" customHeight="1" x14ac:dyDescent="0.3">
      <c r="B23" s="123"/>
      <c r="C23" s="125"/>
      <c r="H23" s="124"/>
      <c r="J23" s="263"/>
      <c r="K23" s="273"/>
    </row>
    <row r="24" spans="2:17" ht="16.5" customHeight="1" x14ac:dyDescent="0.3">
      <c r="B24" s="123"/>
      <c r="C24" s="555" t="str">
        <f>IF(E24=0,"","C : 20 % MwSt von")</f>
        <v>C : 20 % MwSt von</v>
      </c>
      <c r="D24" s="555"/>
      <c r="E24" s="238">
        <f>+SUMIFS(L14:L18,M14:M18,20)/1.2</f>
        <v>26.483333333333334</v>
      </c>
      <c r="F24" s="237" t="str">
        <f>IF(E24=0,"","=")</f>
        <v>=</v>
      </c>
      <c r="G24" s="238">
        <f>+E24*0.2</f>
        <v>5.2966666666666669</v>
      </c>
      <c r="H24" s="124"/>
      <c r="J24" s="263"/>
      <c r="K24" s="273"/>
    </row>
    <row r="25" spans="2:17" ht="16.5" customHeight="1" x14ac:dyDescent="0.3">
      <c r="B25" s="123"/>
      <c r="C25" s="555" t="str">
        <f>IF(E25=0,"","B : 10 % MwSt von")</f>
        <v/>
      </c>
      <c r="D25" s="555"/>
      <c r="E25" s="238">
        <f>+SUMIFS(L14:L18,M14:M18,10)/1.1</f>
        <v>0</v>
      </c>
      <c r="F25" s="237" t="str">
        <f>IF(E25=0,"","=")</f>
        <v/>
      </c>
      <c r="G25" s="238">
        <f>+E25*0.1</f>
        <v>0</v>
      </c>
      <c r="H25" s="124"/>
      <c r="J25" s="263"/>
      <c r="K25" s="273"/>
    </row>
    <row r="26" spans="2:17" ht="6.75" customHeight="1" x14ac:dyDescent="0.3">
      <c r="B26" s="123"/>
      <c r="C26" s="125"/>
      <c r="H26" s="124"/>
      <c r="J26" s="263"/>
      <c r="K26" s="273"/>
    </row>
    <row r="27" spans="2:17" ht="16.5" customHeight="1" x14ac:dyDescent="0.3">
      <c r="B27" s="123"/>
      <c r="C27" s="550" t="str">
        <f>+K3</f>
        <v>Alles Büro KG</v>
      </c>
      <c r="D27" s="550"/>
      <c r="E27" s="550"/>
      <c r="F27" s="550"/>
      <c r="G27" s="550"/>
      <c r="H27" s="124"/>
    </row>
    <row r="28" spans="2:17" ht="16.5" customHeight="1" x14ac:dyDescent="0.3">
      <c r="B28" s="123"/>
      <c r="C28" s="550" t="str">
        <f>CONCATENATE(K5,", ",K6)</f>
        <v>Kaufmannstraße 22, 6020 Innsbruck</v>
      </c>
      <c r="D28" s="550"/>
      <c r="E28" s="550"/>
      <c r="F28" s="550"/>
      <c r="G28" s="550"/>
      <c r="H28" s="124"/>
    </row>
    <row r="29" spans="2:17" ht="16.5" customHeight="1" x14ac:dyDescent="0.3">
      <c r="B29" s="123"/>
      <c r="C29" s="550" t="str">
        <f>+IF(K7="","",K7)</f>
        <v>+43 512 39 15 79</v>
      </c>
      <c r="D29" s="550"/>
      <c r="E29" s="550"/>
      <c r="F29" s="550"/>
      <c r="G29" s="550"/>
      <c r="H29" s="124"/>
    </row>
    <row r="30" spans="2:17" ht="16.5" customHeight="1" x14ac:dyDescent="0.3">
      <c r="B30" s="123"/>
      <c r="C30" s="550" t="s">
        <v>420</v>
      </c>
      <c r="D30" s="550"/>
      <c r="E30" s="550"/>
      <c r="F30" s="550"/>
      <c r="G30" s="550"/>
      <c r="H30" s="124"/>
    </row>
    <row r="31" spans="2:17" ht="6.75" customHeight="1" x14ac:dyDescent="0.3">
      <c r="B31" s="123"/>
      <c r="C31" s="125"/>
      <c r="D31" s="125"/>
      <c r="E31" s="125"/>
      <c r="F31" s="125"/>
      <c r="G31" s="125"/>
      <c r="H31" s="124"/>
    </row>
    <row r="32" spans="2:17" ht="16.5" customHeight="1" x14ac:dyDescent="0.3">
      <c r="B32" s="123"/>
      <c r="C32" s="125" t="str">
        <f ca="1">CONCATENATE("Filiale: ",(ROUND(K10/55,0)))</f>
        <v>Filiale: 803</v>
      </c>
      <c r="D32" s="125" t="s">
        <v>140</v>
      </c>
      <c r="E32" s="109">
        <f ca="1">RANDBETWEEN(1,3)</f>
        <v>3</v>
      </c>
      <c r="F32" s="125" t="s">
        <v>141</v>
      </c>
      <c r="G32" s="125">
        <f>ROUND(L14*9755,0)</f>
        <v>67310</v>
      </c>
      <c r="H32" s="124"/>
    </row>
    <row r="33" spans="2:8" ht="16.5" customHeight="1" x14ac:dyDescent="0.3">
      <c r="B33" s="123"/>
      <c r="C33" s="125" t="s">
        <v>392</v>
      </c>
      <c r="D33" s="561">
        <f ca="1">+IF(K10="","",K10)</f>
        <v>44179</v>
      </c>
      <c r="E33" s="561"/>
      <c r="F33" s="125"/>
      <c r="G33" s="453" t="str">
        <f ca="1">+CONCATENATE(RANDBETWEEN(10,19),":",RANDBETWEEN(10,59),":",RANDBETWEEN(10,59))</f>
        <v>11:45:42</v>
      </c>
      <c r="H33" s="124"/>
    </row>
    <row r="34" spans="2:8" ht="9.75" customHeight="1" x14ac:dyDescent="0.3">
      <c r="B34" s="123"/>
      <c r="C34" s="125"/>
      <c r="E34" s="253"/>
      <c r="F34" s="253"/>
      <c r="G34" s="253"/>
      <c r="H34" s="124"/>
    </row>
    <row r="35" spans="2:8" ht="16.5" customHeight="1" x14ac:dyDescent="0.3">
      <c r="B35" s="123"/>
      <c r="C35" s="125"/>
      <c r="E35" s="253"/>
      <c r="F35" s="253"/>
      <c r="G35" s="253"/>
      <c r="H35" s="124"/>
    </row>
    <row r="36" spans="2:8" ht="16.5" customHeight="1" x14ac:dyDescent="0.3">
      <c r="B36" s="123"/>
      <c r="C36" s="125"/>
      <c r="E36" s="253"/>
      <c r="F36" s="253"/>
      <c r="G36" s="253"/>
      <c r="H36" s="124"/>
    </row>
    <row r="37" spans="2:8" ht="16.5" customHeight="1" x14ac:dyDescent="0.3">
      <c r="B37" s="123"/>
      <c r="C37" s="125"/>
      <c r="E37" s="253"/>
      <c r="F37" s="253"/>
      <c r="G37" s="253"/>
      <c r="H37" s="124"/>
    </row>
    <row r="38" spans="2:8" ht="16.5" customHeight="1" x14ac:dyDescent="0.3">
      <c r="B38" s="123"/>
      <c r="C38" s="125"/>
      <c r="D38" s="110"/>
      <c r="E38" s="110"/>
      <c r="F38" s="110"/>
      <c r="G38" s="110"/>
      <c r="H38" s="124"/>
    </row>
    <row r="39" spans="2:8" x14ac:dyDescent="0.3">
      <c r="B39" s="123"/>
      <c r="C39" s="545" t="s">
        <v>244</v>
      </c>
      <c r="D39" s="545"/>
      <c r="E39" s="545"/>
      <c r="F39" s="545"/>
      <c r="G39" s="545"/>
      <c r="H39" s="124"/>
    </row>
    <row r="40" spans="2:8" x14ac:dyDescent="0.3">
      <c r="B40" s="123"/>
      <c r="C40" s="241"/>
      <c r="D40" s="241"/>
      <c r="E40" s="241"/>
      <c r="F40" s="241"/>
      <c r="G40" s="241"/>
      <c r="H40" s="124"/>
    </row>
    <row r="41" spans="2:8" x14ac:dyDescent="0.3">
      <c r="B41" s="128"/>
      <c r="C41" s="129"/>
      <c r="D41" s="129"/>
      <c r="E41" s="129"/>
      <c r="F41" s="129"/>
      <c r="G41" s="129"/>
      <c r="H41" s="130"/>
    </row>
  </sheetData>
  <sheetProtection algorithmName="SHA-512" hashValue="AQIy9HX4PwDwbBr+1zQBeKDKD2MJsHBSb5e7saFaOHF5SJMUOXhtFwxPWdXLE5r5hrbkHzrVweRt9lLjWIBBPA==" saltValue="G0AmD7oyJdUkKO68rmH1YA==" spinCount="100000" sheet="1" objects="1" scenarios="1" selectLockedCells="1"/>
  <mergeCells count="44">
    <mergeCell ref="D33:E33"/>
    <mergeCell ref="O1:O2"/>
    <mergeCell ref="K3:M3"/>
    <mergeCell ref="K4:M4"/>
    <mergeCell ref="K9:M9"/>
    <mergeCell ref="K8:M8"/>
    <mergeCell ref="K5:M5"/>
    <mergeCell ref="K6:M6"/>
    <mergeCell ref="J1:M1"/>
    <mergeCell ref="K7:M7"/>
    <mergeCell ref="J16:K16"/>
    <mergeCell ref="C9:E9"/>
    <mergeCell ref="C10:E10"/>
    <mergeCell ref="C11:E11"/>
    <mergeCell ref="C12:E12"/>
    <mergeCell ref="C13:E13"/>
    <mergeCell ref="K11:M11"/>
    <mergeCell ref="C14:E14"/>
    <mergeCell ref="C16:E16"/>
    <mergeCell ref="K10:M10"/>
    <mergeCell ref="J13:K13"/>
    <mergeCell ref="J14:K14"/>
    <mergeCell ref="J15:K15"/>
    <mergeCell ref="C24:D24"/>
    <mergeCell ref="C25:D25"/>
    <mergeCell ref="C29:G29"/>
    <mergeCell ref="J17:K17"/>
    <mergeCell ref="J18:K18"/>
    <mergeCell ref="C39:G39"/>
    <mergeCell ref="C5:G5"/>
    <mergeCell ref="C6:G6"/>
    <mergeCell ref="C3:G4"/>
    <mergeCell ref="F7:G7"/>
    <mergeCell ref="C7:D7"/>
    <mergeCell ref="C30:G30"/>
    <mergeCell ref="D22:E22"/>
    <mergeCell ref="D21:E21"/>
    <mergeCell ref="F21:G21"/>
    <mergeCell ref="F22:G22"/>
    <mergeCell ref="C27:G27"/>
    <mergeCell ref="C28:G28"/>
    <mergeCell ref="D20:G20"/>
    <mergeCell ref="C17:G17"/>
    <mergeCell ref="C18:G18"/>
  </mergeCells>
  <dataValidations count="2">
    <dataValidation type="list" allowBlank="1" showInputMessage="1" showErrorMessage="1" sqref="M14:M18">
      <formula1>USt_vollständig</formula1>
    </dataValidation>
    <dataValidation type="list" allowBlank="1" showInputMessage="1" showErrorMessage="1" sqref="K11:M11">
      <formula1>Zahlungsarten_sofort</formula1>
    </dataValidation>
  </dataValidations>
  <hyperlinks>
    <hyperlink ref="O1" location="Belegverwaltung!Druckbereich" display="Zurück zur Belegverwaltung"/>
    <hyperlink ref="O1:O2" location="Belegverwaltung!A1" display="Zurück zur Belegverwaltung"/>
  </hyperlinks>
  <pageMargins left="0.70866141732283472" right="0.70866141732283472" top="0.78740157480314965" bottom="0.78740157480314965" header="0.31496062992125984" footer="0.31496062992125984"/>
  <pageSetup paperSize="9" orientation="portrait" horizontalDpi="300" verticalDpi="30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pageSetUpPr autoPageBreaks="0" fitToPage="1"/>
  </sheetPr>
  <dimension ref="A1:P16"/>
  <sheetViews>
    <sheetView showGridLines="0" showRowColHeaders="0" zoomScaleNormal="100" workbookViewId="0">
      <selection activeCell="K4" sqref="K4"/>
    </sheetView>
  </sheetViews>
  <sheetFormatPr baseColWidth="10" defaultRowHeight="15" x14ac:dyDescent="0.3"/>
  <cols>
    <col min="1" max="1" width="8.140625" style="157" customWidth="1"/>
    <col min="2" max="2" width="4.7109375" style="157" customWidth="1"/>
    <col min="3" max="3" width="18.28515625" style="157" customWidth="1"/>
    <col min="4" max="4" width="23.28515625" style="157" customWidth="1"/>
    <col min="5" max="5" width="3.5703125" style="157" bestFit="1" customWidth="1"/>
    <col min="6" max="6" width="6.140625" style="157" bestFit="1" customWidth="1"/>
    <col min="7" max="7" width="10.42578125" style="157" bestFit="1" customWidth="1"/>
    <col min="8" max="8" width="4" style="157" customWidth="1"/>
    <col min="9" max="9" width="10.7109375" style="1" customWidth="1"/>
    <col min="10" max="10" width="17.28515625" style="268" bestFit="1" customWidth="1"/>
    <col min="11" max="11" width="34.140625" style="268" customWidth="1"/>
    <col min="12" max="12" width="9.28515625" style="268" bestFit="1" customWidth="1"/>
    <col min="13" max="13" width="34.42578125" style="268" bestFit="1" customWidth="1"/>
    <col min="14" max="14" width="11.42578125" style="268"/>
    <col min="15" max="16384" width="11.42578125" style="1"/>
  </cols>
  <sheetData>
    <row r="1" spans="1:16" ht="30" customHeight="1" x14ac:dyDescent="0.35">
      <c r="A1" s="158"/>
      <c r="B1" s="158"/>
      <c r="C1" s="158"/>
      <c r="D1" s="158"/>
      <c r="E1" s="158"/>
      <c r="F1" s="158"/>
      <c r="G1" s="158"/>
      <c r="H1" s="158"/>
      <c r="J1" s="563" t="str">
        <f>intern_Datenblatt!B1</f>
        <v>Verändern Sie hier den Beleg:</v>
      </c>
      <c r="K1" s="563"/>
      <c r="L1" s="289"/>
      <c r="M1" s="500" t="str">
        <f>intern_Datenblatt!B3</f>
        <v>Zurück zur Belegverwaltung</v>
      </c>
      <c r="N1" s="289"/>
      <c r="O1" s="91"/>
      <c r="P1" s="91"/>
    </row>
    <row r="2" spans="1:16" ht="19.5" customHeight="1" x14ac:dyDescent="0.3">
      <c r="A2" s="158"/>
      <c r="B2" s="200"/>
      <c r="C2" s="565" t="str">
        <f>IF(K9="","",K9)</f>
        <v>Tiroler Sparkasse Völs</v>
      </c>
      <c r="D2" s="565"/>
      <c r="E2" s="383"/>
      <c r="F2" s="1"/>
      <c r="G2" s="1"/>
      <c r="H2" s="158"/>
      <c r="K2" s="269"/>
      <c r="L2" s="289"/>
      <c r="M2" s="500"/>
      <c r="N2" s="289"/>
      <c r="O2" s="91"/>
      <c r="P2" s="91"/>
    </row>
    <row r="3" spans="1:16" ht="8.1" customHeight="1" x14ac:dyDescent="0.3">
      <c r="A3" s="158"/>
      <c r="B3" s="200"/>
      <c r="C3" s="565"/>
      <c r="D3" s="565"/>
      <c r="E3" s="383"/>
      <c r="F3" s="567" t="str">
        <f>IF(K4="Eingang","EINZAHLUNG  ","AUSZAHLUNG  ")</f>
        <v xml:space="preserve">EINZAHLUNG  </v>
      </c>
      <c r="G3" s="567"/>
      <c r="H3" s="158"/>
      <c r="L3" s="289"/>
      <c r="M3" s="382"/>
      <c r="N3" s="289"/>
      <c r="O3" s="91"/>
      <c r="P3" s="91"/>
    </row>
    <row r="4" spans="1:16" ht="16.5" customHeight="1" thickBot="1" x14ac:dyDescent="0.35">
      <c r="A4" s="158"/>
      <c r="B4" s="200"/>
      <c r="C4" s="566"/>
      <c r="D4" s="566"/>
      <c r="E4" s="383"/>
      <c r="F4" s="568"/>
      <c r="G4" s="568"/>
      <c r="H4" s="158"/>
      <c r="J4" s="290" t="str">
        <f>+intern_Datenblatt!A14</f>
        <v>Belegauswahl</v>
      </c>
      <c r="K4" s="386" t="s">
        <v>68</v>
      </c>
      <c r="L4" s="289"/>
      <c r="M4" s="382"/>
      <c r="N4" s="289"/>
      <c r="O4" s="91"/>
      <c r="P4" s="91"/>
    </row>
    <row r="5" spans="1:16" ht="16.5" customHeight="1" thickBot="1" x14ac:dyDescent="0.35">
      <c r="A5" s="159"/>
      <c r="B5" s="165"/>
      <c r="C5" s="168" t="str">
        <f>IF(K10="","",K10)</f>
        <v>AT932050300000077428</v>
      </c>
      <c r="D5" s="458" t="str">
        <f>UPPER(K7)</f>
        <v>MARIA BAUER E.U.</v>
      </c>
      <c r="E5" s="384" t="s">
        <v>26</v>
      </c>
      <c r="F5" s="167" t="s">
        <v>152</v>
      </c>
      <c r="G5" s="385">
        <f>IF(K4="Eingang",K5,K5*-1)</f>
        <v>2500</v>
      </c>
      <c r="H5" s="158"/>
      <c r="J5" s="273" t="str">
        <f>+intern_Datenblatt!A16</f>
        <v>Betrag</v>
      </c>
      <c r="K5" s="374">
        <v>2500</v>
      </c>
      <c r="L5" s="289"/>
      <c r="M5" s="569" t="str">
        <f>intern_Datenblatt!B4</f>
        <v>Beleg kopieren</v>
      </c>
    </row>
    <row r="6" spans="1:16" ht="16.5" customHeight="1" thickBot="1" x14ac:dyDescent="0.35">
      <c r="A6" s="159"/>
      <c r="B6" s="159"/>
      <c r="C6" s="161"/>
      <c r="D6" s="160"/>
      <c r="E6" s="160"/>
      <c r="F6" s="160"/>
      <c r="G6" s="161"/>
      <c r="H6" s="158"/>
      <c r="J6" s="273" t="str">
        <f>+intern_Datenblatt!A20</f>
        <v>Datum</v>
      </c>
      <c r="K6" s="443">
        <f ca="1">DATE(YEAR(TODAY()),12,16)</f>
        <v>44181</v>
      </c>
      <c r="M6" s="569"/>
    </row>
    <row r="7" spans="1:16" ht="16.5" customHeight="1" thickBot="1" x14ac:dyDescent="0.35">
      <c r="A7" s="159"/>
      <c r="B7" s="159"/>
      <c r="C7" s="161"/>
      <c r="D7" s="160"/>
      <c r="E7" s="160"/>
      <c r="F7" s="160"/>
      <c r="G7" s="161"/>
      <c r="H7" s="158"/>
      <c r="J7" s="273" t="str">
        <f>+intern_Datenblatt!A29</f>
        <v>Firma</v>
      </c>
      <c r="K7" s="444" t="str">
        <f>+Belegverwaltung!E11</f>
        <v>Maria Bauer e.U.</v>
      </c>
    </row>
    <row r="8" spans="1:16" ht="16.5" customHeight="1" thickBot="1" x14ac:dyDescent="0.35">
      <c r="A8" s="159"/>
      <c r="B8" s="159"/>
      <c r="C8" s="161"/>
      <c r="D8" s="160"/>
      <c r="E8" s="160"/>
      <c r="F8" s="160"/>
      <c r="G8" s="161"/>
      <c r="H8" s="158"/>
      <c r="J8" s="273" t="str">
        <f>+intern_Datenblatt!A70</f>
        <v>Unterschrift</v>
      </c>
      <c r="K8" s="444" t="s">
        <v>448</v>
      </c>
      <c r="L8" s="289"/>
      <c r="N8" s="313"/>
    </row>
    <row r="9" spans="1:16" ht="16.5" customHeight="1" thickBot="1" x14ac:dyDescent="0.35">
      <c r="A9" s="159"/>
      <c r="B9" s="159"/>
      <c r="C9" s="161"/>
      <c r="D9" s="160"/>
      <c r="E9" s="160"/>
      <c r="F9" s="160"/>
      <c r="G9" s="161"/>
      <c r="H9" s="158"/>
      <c r="J9" s="273" t="s">
        <v>150</v>
      </c>
      <c r="K9" s="436" t="s">
        <v>461</v>
      </c>
      <c r="L9" s="289"/>
    </row>
    <row r="10" spans="1:16" ht="16.5" customHeight="1" thickBot="1" x14ac:dyDescent="0.35">
      <c r="A10" s="159"/>
      <c r="B10" s="159"/>
      <c r="C10" s="161"/>
      <c r="D10" s="160"/>
      <c r="E10" s="160"/>
      <c r="F10" s="160"/>
      <c r="G10" s="161"/>
      <c r="H10" s="158"/>
      <c r="J10" s="273" t="str">
        <f>+intern_Datenblatt!A33</f>
        <v>IBAN</v>
      </c>
      <c r="K10" s="466" t="s">
        <v>462</v>
      </c>
      <c r="L10" s="289"/>
      <c r="N10" s="313"/>
    </row>
    <row r="11" spans="1:16" ht="16.5" customHeight="1" thickBot="1" x14ac:dyDescent="0.35">
      <c r="A11" s="159"/>
      <c r="B11" s="162"/>
      <c r="C11" s="164"/>
      <c r="D11" s="163"/>
      <c r="E11" s="163"/>
      <c r="F11" s="163"/>
      <c r="G11" s="164"/>
      <c r="H11" s="158"/>
      <c r="J11" s="273" t="str">
        <f>+intern_Datenblatt!A28</f>
        <v>Logoauswahl</v>
      </c>
      <c r="K11" s="436" t="s">
        <v>112</v>
      </c>
      <c r="L11" s="289"/>
      <c r="N11" s="306"/>
    </row>
    <row r="12" spans="1:16" ht="16.5" customHeight="1" x14ac:dyDescent="0.3">
      <c r="A12" s="159"/>
      <c r="B12" s="165"/>
      <c r="C12" s="168">
        <f ca="1">IF(K6="","",K6)</f>
        <v>44181</v>
      </c>
      <c r="D12" s="169">
        <f ca="1">NOW()</f>
        <v>44001.490753356484</v>
      </c>
      <c r="E12" s="167" t="str">
        <f>UPPER(RIGHT(K8,3))</f>
        <v>UER</v>
      </c>
      <c r="F12" s="170">
        <f ca="1">RANDBETWEEN(1215,8758)</f>
        <v>8597</v>
      </c>
      <c r="G12" s="166" t="str">
        <f ca="1">LOWER(CONCATENATE(RIGHT(K8,1),RANDBETWEEN(1234,9874),LEFT(K9,2)))</f>
        <v>r9580ti</v>
      </c>
      <c r="H12" s="158"/>
      <c r="J12" s="289"/>
      <c r="K12" s="289"/>
      <c r="M12" s="289"/>
      <c r="N12" s="289"/>
      <c r="O12" s="91"/>
    </row>
    <row r="13" spans="1:16" ht="27" customHeight="1" x14ac:dyDescent="0.3">
      <c r="A13" s="159"/>
      <c r="B13" s="165"/>
      <c r="C13" s="166"/>
      <c r="D13" s="167"/>
      <c r="E13" s="167"/>
      <c r="F13" s="167"/>
      <c r="G13" s="166"/>
      <c r="H13" s="158"/>
      <c r="J13" s="289"/>
      <c r="K13" s="289"/>
      <c r="M13" s="289"/>
      <c r="N13" s="289"/>
      <c r="O13" s="91"/>
    </row>
    <row r="14" spans="1:16" ht="14.25" customHeight="1" x14ac:dyDescent="0.3">
      <c r="A14" s="159"/>
      <c r="B14" s="564" t="s">
        <v>153</v>
      </c>
      <c r="C14" s="564"/>
      <c r="D14" s="564" t="s">
        <v>154</v>
      </c>
      <c r="E14" s="564"/>
      <c r="F14" s="564"/>
      <c r="G14" s="564"/>
      <c r="H14" s="158"/>
      <c r="J14" s="289"/>
      <c r="K14" s="289"/>
    </row>
    <row r="15" spans="1:16" ht="25.5" customHeight="1" x14ac:dyDescent="0.3">
      <c r="A15" s="159"/>
      <c r="B15" s="251"/>
      <c r="C15" s="251"/>
      <c r="D15" s="251"/>
      <c r="E15" s="251"/>
      <c r="F15" s="251"/>
      <c r="G15" s="251"/>
      <c r="H15" s="158"/>
    </row>
    <row r="16" spans="1:16" ht="16.5" customHeight="1" x14ac:dyDescent="0.3">
      <c r="A16" s="158"/>
      <c r="B16" s="158"/>
      <c r="C16" s="158"/>
      <c r="D16" s="158"/>
      <c r="E16" s="158"/>
      <c r="F16" s="158"/>
      <c r="G16" s="158"/>
      <c r="H16" s="158"/>
    </row>
  </sheetData>
  <sheetProtection algorithmName="SHA-512" hashValue="WDQoBx2uz2vWEHJ+IaRG2M+amRGMyirtUOBTcBAbUsp3vE8HfTw5YdNjag9Fmhe9bvlrj5PCdNKoQ9skh3B9mw==" saltValue="fa63Q9c+s/QtaEreZbzb4g==" spinCount="100000" sheet="1" objects="1" scenarios="1" selectLockedCells="1"/>
  <mergeCells count="7">
    <mergeCell ref="M1:M2"/>
    <mergeCell ref="B14:C14"/>
    <mergeCell ref="D14:G14"/>
    <mergeCell ref="J1:K1"/>
    <mergeCell ref="C2:D4"/>
    <mergeCell ref="F3:G4"/>
    <mergeCell ref="M5:M6"/>
  </mergeCells>
  <dataValidations count="1">
    <dataValidation type="list" allowBlank="1" showInputMessage="1" showErrorMessage="1" sqref="K4">
      <formula1>Belegauswahl</formula1>
    </dataValidation>
  </dataValidations>
  <hyperlinks>
    <hyperlink ref="M1" location="Belegverwaltung!Druckbereich" display="Zurück zur Belegverwaltung"/>
    <hyperlink ref="M1:M2" location="Belegverwaltung!A1" display="Zurück zur Belegverwaltung"/>
  </hyperlinks>
  <pageMargins left="0.70866141732283472" right="0.70866141732283472" top="0.78740157480314965" bottom="0.78740157480314965" header="0.31496062992125984" footer="0.31496062992125984"/>
  <pageSetup paperSize="9" orientation="portrait" horizontalDpi="300" verticalDpi="30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intern_Tabelle2!$A$1:$A$21</xm:f>
          </x14:formula1>
          <xm:sqref>K11</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0">
    <pageSetUpPr fitToPage="1"/>
  </sheetPr>
  <dimension ref="A1:Q26"/>
  <sheetViews>
    <sheetView showGridLines="0" showRowColHeaders="0" zoomScaleNormal="100" workbookViewId="0">
      <selection activeCell="M4" sqref="M4"/>
    </sheetView>
  </sheetViews>
  <sheetFormatPr baseColWidth="10" defaultRowHeight="15" x14ac:dyDescent="0.3"/>
  <cols>
    <col min="1" max="1" width="2.5703125" style="1" customWidth="1"/>
    <col min="2" max="2" width="3.5703125" style="1" customWidth="1"/>
    <col min="3" max="3" width="5.28515625" style="1" customWidth="1"/>
    <col min="4" max="4" width="11.140625" style="1" customWidth="1"/>
    <col min="5" max="5" width="9.5703125" style="1" customWidth="1"/>
    <col min="6" max="6" width="18" style="1" customWidth="1"/>
    <col min="7" max="7" width="6.140625" style="1" bestFit="1" customWidth="1"/>
    <col min="8" max="8" width="18.28515625" style="1" customWidth="1"/>
    <col min="9" max="9" width="4.42578125" style="1" customWidth="1"/>
    <col min="10" max="10" width="3.7109375" style="1" customWidth="1"/>
    <col min="11" max="11" width="10.7109375" style="1" customWidth="1"/>
    <col min="12" max="12" width="24.7109375" style="268" customWidth="1"/>
    <col min="13" max="13" width="39.5703125" style="268" customWidth="1"/>
    <col min="14" max="15" width="6.28515625" style="268" customWidth="1"/>
    <col min="16" max="16" width="34.7109375" style="268" customWidth="1"/>
    <col min="17" max="17" width="11.42578125" style="268"/>
    <col min="18" max="16384" width="11.42578125" style="1"/>
  </cols>
  <sheetData>
    <row r="1" spans="1:17" ht="30" customHeight="1" x14ac:dyDescent="0.35">
      <c r="A1" s="459"/>
      <c r="B1" s="152"/>
      <c r="C1" s="152"/>
      <c r="D1" s="152"/>
      <c r="E1" s="152"/>
      <c r="F1" s="152"/>
      <c r="G1" s="152"/>
      <c r="H1" s="152"/>
      <c r="I1" s="152"/>
      <c r="J1" s="152"/>
      <c r="L1" s="563" t="str">
        <f>intern_Datenblatt!B1</f>
        <v>Verändern Sie hier den Beleg:</v>
      </c>
      <c r="M1" s="563"/>
      <c r="P1" s="481" t="str">
        <f>intern_Datenblatt!B3</f>
        <v>Zurück zur Belegverwaltung</v>
      </c>
    </row>
    <row r="2" spans="1:17" ht="9" customHeight="1" x14ac:dyDescent="0.2">
      <c r="A2" s="152"/>
      <c r="B2" s="52"/>
      <c r="C2" s="52"/>
      <c r="D2" s="52"/>
      <c r="E2" s="52"/>
      <c r="F2" s="52"/>
      <c r="G2" s="52"/>
      <c r="H2" s="52"/>
      <c r="I2" s="52"/>
      <c r="J2" s="52"/>
      <c r="L2" s="573"/>
      <c r="M2" s="573"/>
      <c r="N2" s="559"/>
      <c r="O2" s="559"/>
      <c r="P2" s="481"/>
      <c r="Q2" s="559"/>
    </row>
    <row r="3" spans="1:17" ht="10.5" customHeight="1" thickBot="1" x14ac:dyDescent="0.25">
      <c r="A3" s="152"/>
      <c r="B3" s="153"/>
      <c r="C3" s="154"/>
      <c r="D3" s="154"/>
      <c r="E3" s="154"/>
      <c r="F3" s="154"/>
      <c r="G3" s="154"/>
      <c r="H3" s="154"/>
      <c r="I3" s="154"/>
      <c r="J3" s="155"/>
      <c r="L3" s="559"/>
      <c r="M3" s="574"/>
      <c r="N3" s="559"/>
      <c r="O3" s="559"/>
      <c r="P3" s="481"/>
      <c r="Q3" s="559"/>
    </row>
    <row r="4" spans="1:17" ht="15" customHeight="1" thickBot="1" x14ac:dyDescent="0.35">
      <c r="A4" s="152"/>
      <c r="B4" s="51"/>
      <c r="C4" s="428"/>
      <c r="D4" s="594" t="str">
        <f>IF(M4="","",M4)</f>
        <v>Bank für Tirol und Vorarlberg AG</v>
      </c>
      <c r="E4" s="594"/>
      <c r="F4" s="594"/>
      <c r="G4" s="594"/>
      <c r="H4" s="570" t="s">
        <v>155</v>
      </c>
      <c r="I4" s="570"/>
      <c r="J4" s="53"/>
      <c r="L4" s="269" t="s">
        <v>99</v>
      </c>
      <c r="M4" s="427" t="s">
        <v>434</v>
      </c>
    </row>
    <row r="5" spans="1:17" ht="15" customHeight="1" thickBot="1" x14ac:dyDescent="0.35">
      <c r="A5" s="152"/>
      <c r="B5" s="51"/>
      <c r="C5" s="429"/>
      <c r="D5" s="595"/>
      <c r="E5" s="595"/>
      <c r="F5" s="595"/>
      <c r="G5" s="595"/>
      <c r="H5" s="570"/>
      <c r="I5" s="570"/>
      <c r="J5" s="53"/>
      <c r="L5" s="268" t="s">
        <v>158</v>
      </c>
      <c r="M5" s="366" t="s">
        <v>463</v>
      </c>
      <c r="P5" s="407" t="str">
        <f>intern_Datenblatt!B4</f>
        <v>Beleg kopieren</v>
      </c>
    </row>
    <row r="6" spans="1:17" ht="14.85" customHeight="1" thickBot="1" x14ac:dyDescent="0.35">
      <c r="A6" s="152"/>
      <c r="B6" s="51"/>
      <c r="C6" s="581" t="s">
        <v>156</v>
      </c>
      <c r="D6" s="582"/>
      <c r="E6" s="201" t="s">
        <v>157</v>
      </c>
      <c r="F6" s="202"/>
      <c r="G6" s="202"/>
      <c r="H6" s="202"/>
      <c r="I6" s="236"/>
      <c r="J6" s="53"/>
      <c r="L6" s="268" t="str">
        <f>+intern_Datenblatt!A64</f>
        <v>Straße</v>
      </c>
      <c r="M6" s="366" t="s">
        <v>464</v>
      </c>
    </row>
    <row r="7" spans="1:17" ht="14.85" customHeight="1" thickBot="1" x14ac:dyDescent="0.35">
      <c r="A7" s="173"/>
      <c r="B7" s="51"/>
      <c r="C7" s="589" t="str">
        <f>+IF(M5="","",CONCATENATE(M5,", ",M6,", ",M7))</f>
        <v>Tiroler Versicherung AG, Mühlgasse 10, 6020 Innsbruck</v>
      </c>
      <c r="D7" s="590"/>
      <c r="E7" s="590"/>
      <c r="F7" s="590"/>
      <c r="G7" s="590"/>
      <c r="H7" s="590"/>
      <c r="I7" s="591"/>
      <c r="J7" s="183"/>
      <c r="K7" s="106"/>
      <c r="L7" s="268" t="str">
        <f>+intern_Datenblatt!A51</f>
        <v>PLZ und Ort</v>
      </c>
      <c r="M7" s="366" t="s">
        <v>429</v>
      </c>
      <c r="N7" s="308"/>
      <c r="O7" s="308"/>
    </row>
    <row r="8" spans="1:17" s="106" customFormat="1" ht="14.85" customHeight="1" thickBot="1" x14ac:dyDescent="0.35">
      <c r="A8" s="152"/>
      <c r="B8" s="51"/>
      <c r="C8" s="177" t="str">
        <f>+L8</f>
        <v>IBAN</v>
      </c>
      <c r="D8" s="592" t="s">
        <v>159</v>
      </c>
      <c r="E8" s="592"/>
      <c r="F8" s="52"/>
      <c r="G8" s="52"/>
      <c r="H8" s="52"/>
      <c r="I8" s="179"/>
      <c r="J8" s="53"/>
      <c r="K8" s="1"/>
      <c r="L8" s="269" t="str">
        <f>+intern_Datenblatt!A33</f>
        <v>IBAN</v>
      </c>
      <c r="M8" s="366" t="s">
        <v>465</v>
      </c>
      <c r="N8" s="309"/>
      <c r="O8" s="309"/>
      <c r="P8" s="309"/>
      <c r="Q8" s="309"/>
    </row>
    <row r="9" spans="1:17" ht="14.85" customHeight="1" thickBot="1" x14ac:dyDescent="0.35">
      <c r="A9" s="152"/>
      <c r="B9" s="51"/>
      <c r="C9" s="467" t="str">
        <f>+IF(M8="","",M8)</f>
        <v>AT302050303300849464</v>
      </c>
      <c r="D9" s="468"/>
      <c r="E9" s="468"/>
      <c r="F9" s="468"/>
      <c r="G9" s="468"/>
      <c r="H9" s="469"/>
      <c r="I9" s="180"/>
      <c r="J9" s="184"/>
      <c r="L9" s="269" t="str">
        <f>+intern_Datenblatt!A18</f>
        <v>BIC</v>
      </c>
      <c r="M9" s="366" t="s">
        <v>466</v>
      </c>
    </row>
    <row r="10" spans="1:17" ht="14.85" customHeight="1" thickTop="1" thickBot="1" x14ac:dyDescent="0.35">
      <c r="A10" s="152"/>
      <c r="B10" s="51"/>
      <c r="C10" s="177" t="str">
        <f>+L9</f>
        <v>BIC</v>
      </c>
      <c r="D10" s="178" t="s">
        <v>164</v>
      </c>
      <c r="E10" s="52"/>
      <c r="F10" s="182"/>
      <c r="G10" s="587" t="s">
        <v>26</v>
      </c>
      <c r="H10" s="190" t="str">
        <f>+L10</f>
        <v>Betrag</v>
      </c>
      <c r="I10" s="191" t="s">
        <v>160</v>
      </c>
      <c r="J10" s="53"/>
      <c r="L10" s="269" t="str">
        <f>+intern_Datenblatt!A16</f>
        <v>Betrag</v>
      </c>
      <c r="M10" s="360">
        <v>426.87</v>
      </c>
    </row>
    <row r="11" spans="1:17" ht="14.85" customHeight="1" thickBot="1" x14ac:dyDescent="0.35">
      <c r="A11" s="152"/>
      <c r="B11" s="51"/>
      <c r="C11" s="571" t="str">
        <f>+IF(M9="","",M9)</f>
        <v>SPIHAT22XXX</v>
      </c>
      <c r="D11" s="572"/>
      <c r="E11" s="572"/>
      <c r="F11" s="181"/>
      <c r="G11" s="588"/>
      <c r="H11" s="585">
        <f>+IF(M10="","",M10)</f>
        <v>426.87</v>
      </c>
      <c r="I11" s="586"/>
      <c r="J11" s="53"/>
      <c r="L11" s="269" t="s">
        <v>161</v>
      </c>
      <c r="M11" s="354" t="s">
        <v>162</v>
      </c>
    </row>
    <row r="12" spans="1:17" ht="14.85" customHeight="1" thickBot="1" x14ac:dyDescent="0.35">
      <c r="A12" s="152"/>
      <c r="B12" s="51"/>
      <c r="C12" s="188"/>
      <c r="D12" s="185"/>
      <c r="E12" s="185"/>
      <c r="F12" s="186"/>
      <c r="G12" s="202"/>
      <c r="H12" s="52"/>
      <c r="I12" s="187"/>
      <c r="J12" s="53"/>
      <c r="L12" s="269"/>
      <c r="M12" s="354" t="s">
        <v>467</v>
      </c>
    </row>
    <row r="13" spans="1:17" ht="14.85" customHeight="1" thickBot="1" x14ac:dyDescent="0.35">
      <c r="A13" s="152"/>
      <c r="B13" s="51"/>
      <c r="C13" s="174"/>
      <c r="D13" s="71"/>
      <c r="E13" s="71"/>
      <c r="F13" s="71"/>
      <c r="G13" s="71"/>
      <c r="H13" s="71"/>
      <c r="I13" s="175"/>
      <c r="J13" s="53"/>
      <c r="L13" s="269" t="str">
        <f>intern_Datenblatt!A29</f>
        <v>Firma</v>
      </c>
      <c r="M13" s="446" t="str">
        <f>+Belegverwaltung!E11</f>
        <v>Maria Bauer e.U.</v>
      </c>
    </row>
    <row r="14" spans="1:17" ht="14.85" customHeight="1" thickBot="1" x14ac:dyDescent="0.35">
      <c r="A14" s="152"/>
      <c r="B14" s="51"/>
      <c r="C14" s="189" t="str">
        <f>+L11</f>
        <v>Verwendungszweck</v>
      </c>
      <c r="D14" s="154"/>
      <c r="E14" s="154"/>
      <c r="F14" s="154"/>
      <c r="G14" s="154"/>
      <c r="H14" s="154"/>
      <c r="I14" s="179"/>
      <c r="J14" s="53"/>
      <c r="L14" s="269" t="str">
        <f>+intern_Datenblatt!A64</f>
        <v>Straße</v>
      </c>
      <c r="M14" s="445" t="str">
        <f>+Belegverwaltung!E15</f>
        <v>Sonnenburgstraße 9</v>
      </c>
    </row>
    <row r="15" spans="1:17" ht="14.85" customHeight="1" thickBot="1" x14ac:dyDescent="0.35">
      <c r="A15" s="152"/>
      <c r="B15" s="51"/>
      <c r="C15" s="192"/>
      <c r="D15" s="593" t="str">
        <f>+IF(M11="","",M11)</f>
        <v>Betriebsbündelversicherung</v>
      </c>
      <c r="E15" s="593"/>
      <c r="F15" s="593"/>
      <c r="G15" s="593"/>
      <c r="H15" s="593"/>
      <c r="I15" s="193"/>
      <c r="J15" s="53"/>
      <c r="L15" s="269" t="str">
        <f>+intern_Datenblatt!A51</f>
        <v>PLZ und Ort</v>
      </c>
      <c r="M15" s="445" t="str">
        <f>+Belegverwaltung!E17</f>
        <v>6020 Innsbruck</v>
      </c>
    </row>
    <row r="16" spans="1:17" ht="14.85" customHeight="1" thickBot="1" x14ac:dyDescent="0.35">
      <c r="A16" s="152"/>
      <c r="B16" s="51"/>
      <c r="C16" s="194"/>
      <c r="D16" s="572" t="str">
        <f>+IF(M12="","",M12)</f>
        <v>Polizze 03-H425.102-M</v>
      </c>
      <c r="E16" s="572"/>
      <c r="F16" s="572"/>
      <c r="G16" s="572"/>
      <c r="H16" s="572"/>
      <c r="I16" s="180"/>
      <c r="J16" s="53"/>
      <c r="L16" s="269" t="str">
        <f>+intern_Datenblatt!A33</f>
        <v>IBAN</v>
      </c>
      <c r="M16" s="446" t="str">
        <f>Belegverwaltung!E31</f>
        <v>AT611600000010152068</v>
      </c>
    </row>
    <row r="17" spans="1:13" ht="14.85" customHeight="1" thickBot="1" x14ac:dyDescent="0.35">
      <c r="A17" s="152"/>
      <c r="B17" s="51"/>
      <c r="C17" s="176" t="str">
        <f>+L8</f>
        <v>IBAN</v>
      </c>
      <c r="D17" s="201" t="s">
        <v>163</v>
      </c>
      <c r="E17" s="201"/>
      <c r="F17" s="470"/>
      <c r="G17" s="202"/>
      <c r="H17" s="202"/>
      <c r="I17" s="236"/>
      <c r="J17" s="53"/>
      <c r="L17" s="435" t="str">
        <f>+intern_Datenblatt!A75</f>
        <v>Auswahl Zahlungsart</v>
      </c>
      <c r="M17" s="361" t="s">
        <v>195</v>
      </c>
    </row>
    <row r="18" spans="1:13" ht="14.85" customHeight="1" thickBot="1" x14ac:dyDescent="0.35">
      <c r="A18" s="152"/>
      <c r="B18" s="51"/>
      <c r="C18" s="467" t="str">
        <f>+IF(M17="bar","",IF(M16="","",M16))</f>
        <v>AT611600000010152068</v>
      </c>
      <c r="D18" s="468"/>
      <c r="E18" s="468"/>
      <c r="F18" s="471"/>
      <c r="G18" s="71"/>
      <c r="H18" s="71"/>
      <c r="I18" s="175"/>
      <c r="J18" s="53"/>
      <c r="L18" s="269" t="str">
        <f>+intern_Datenblatt!A20</f>
        <v>Datum</v>
      </c>
      <c r="M18" s="362">
        <f ca="1">DATE(YEAR(TODAY()),12,21)</f>
        <v>44186</v>
      </c>
    </row>
    <row r="19" spans="1:13" ht="14.85" customHeight="1" x14ac:dyDescent="0.3">
      <c r="A19" s="152"/>
      <c r="B19" s="51"/>
      <c r="C19" s="583" t="s">
        <v>163</v>
      </c>
      <c r="D19" s="584"/>
      <c r="E19" s="584"/>
      <c r="F19" s="178" t="s">
        <v>157</v>
      </c>
      <c r="G19" s="52"/>
      <c r="H19" s="52"/>
      <c r="I19" s="187"/>
      <c r="J19" s="53"/>
      <c r="L19" s="307" t="str">
        <f>intern_Datenblatt!A28</f>
        <v>Logoauswahl</v>
      </c>
      <c r="M19" s="425" t="s">
        <v>180</v>
      </c>
    </row>
    <row r="20" spans="1:13" ht="14.85" customHeight="1" thickBot="1" x14ac:dyDescent="0.35">
      <c r="A20" s="152"/>
      <c r="B20" s="51"/>
      <c r="C20" s="575" t="str">
        <f>+IF(M13="","",CONCATENATE(M13,", ",M14,", ",M15))</f>
        <v>Maria Bauer e.U., Sonnenburgstraße 9, 6020 Innsbruck</v>
      </c>
      <c r="D20" s="576"/>
      <c r="E20" s="576"/>
      <c r="F20" s="576"/>
      <c r="G20" s="576"/>
      <c r="H20" s="576"/>
      <c r="I20" s="577"/>
      <c r="J20" s="53"/>
    </row>
    <row r="21" spans="1:13" ht="7.5" customHeight="1" x14ac:dyDescent="0.3">
      <c r="A21" s="152"/>
      <c r="B21" s="51"/>
      <c r="C21" s="202"/>
      <c r="D21" s="202"/>
      <c r="E21" s="202"/>
      <c r="F21" s="202"/>
      <c r="G21" s="202"/>
      <c r="H21" s="202"/>
      <c r="I21" s="202"/>
      <c r="J21" s="53"/>
    </row>
    <row r="22" spans="1:13" x14ac:dyDescent="0.3">
      <c r="A22" s="152"/>
      <c r="B22" s="51"/>
      <c r="C22" s="578" t="s">
        <v>165</v>
      </c>
      <c r="D22" s="579"/>
      <c r="E22" s="579"/>
      <c r="F22" s="579"/>
      <c r="G22" s="579"/>
      <c r="H22" s="579"/>
      <c r="I22" s="579"/>
      <c r="J22" s="53"/>
      <c r="M22" s="314" t="str">
        <f>IF(M17="bar","Bareinzahlung","")</f>
        <v/>
      </c>
    </row>
    <row r="23" spans="1:13" x14ac:dyDescent="0.3">
      <c r="A23" s="152"/>
      <c r="B23" s="51"/>
      <c r="C23" s="578"/>
      <c r="D23" s="579"/>
      <c r="E23" s="579"/>
      <c r="F23" s="579"/>
      <c r="G23" s="579"/>
      <c r="H23" s="579"/>
      <c r="I23" s="579"/>
      <c r="J23" s="53"/>
      <c r="M23" s="403" t="str">
        <f>IF(M17="bar",M4,"")</f>
        <v/>
      </c>
    </row>
    <row r="24" spans="1:13" x14ac:dyDescent="0.3">
      <c r="A24" s="152"/>
      <c r="B24" s="51"/>
      <c r="C24" s="578"/>
      <c r="D24" s="579"/>
      <c r="E24" s="579"/>
      <c r="F24" s="579"/>
      <c r="G24" s="579"/>
      <c r="H24" s="579"/>
      <c r="I24" s="579"/>
      <c r="J24" s="53"/>
      <c r="M24" s="472" t="str">
        <f>IF(M17="bar",M18,"")</f>
        <v/>
      </c>
    </row>
    <row r="25" spans="1:13" x14ac:dyDescent="0.3">
      <c r="A25" s="152"/>
      <c r="B25" s="70"/>
      <c r="C25" s="580"/>
      <c r="D25" s="580"/>
      <c r="E25" s="580"/>
      <c r="F25" s="580"/>
      <c r="G25" s="580"/>
      <c r="H25" s="580"/>
      <c r="I25" s="580"/>
      <c r="J25" s="72"/>
    </row>
    <row r="26" spans="1:13" ht="15" customHeight="1" x14ac:dyDescent="0.3">
      <c r="A26" s="152"/>
      <c r="B26" s="152"/>
      <c r="C26" s="152"/>
      <c r="D26" s="152"/>
      <c r="E26" s="152"/>
      <c r="F26" s="152"/>
      <c r="G26" s="152"/>
      <c r="H26" s="152"/>
      <c r="I26" s="152"/>
      <c r="J26" s="152"/>
    </row>
  </sheetData>
  <sheetProtection algorithmName="SHA-512" hashValue="soz5H2FPqrSuplaSNqJcps1gDJ/d2MBn1qsptmt1ry4A/9qo3Gir/voGUVWFVDROBnwso9goJqDwtSoA9RJ87g==" saltValue="bFLjy6ZkI1sFSj5c0duMcQ==" spinCount="100000" sheet="1" objects="1" scenarios="1" selectLockedCells="1"/>
  <mergeCells count="20">
    <mergeCell ref="C11:E11"/>
    <mergeCell ref="L2:L3"/>
    <mergeCell ref="M2:M3"/>
    <mergeCell ref="C20:I20"/>
    <mergeCell ref="C22:I25"/>
    <mergeCell ref="C6:D6"/>
    <mergeCell ref="C19:E19"/>
    <mergeCell ref="H11:I11"/>
    <mergeCell ref="G10:G11"/>
    <mergeCell ref="C7:I7"/>
    <mergeCell ref="D8:E8"/>
    <mergeCell ref="D15:H15"/>
    <mergeCell ref="D16:H16"/>
    <mergeCell ref="D4:G5"/>
    <mergeCell ref="P1:P3"/>
    <mergeCell ref="O2:O3"/>
    <mergeCell ref="Q2:Q3"/>
    <mergeCell ref="L1:M1"/>
    <mergeCell ref="H4:I5"/>
    <mergeCell ref="N2:N3"/>
  </mergeCells>
  <hyperlinks>
    <hyperlink ref="P1" location="Belegverwaltung!Druckbereich" display="Zurück zur Belegverwaltung"/>
    <hyperlink ref="P1:P2" location="Belegverwaltung!A1" display="Zurück zur Belegverwaltung"/>
  </hyperlinks>
  <pageMargins left="0.70866141732283472" right="0.70866141732283472" top="0.78740157480314965" bottom="0.78740157480314965" header="0.31496062992125984" footer="0.31496062992125984"/>
  <pageSetup paperSize="9" orientation="portrait" horizontalDpi="300" verticalDpi="300" r:id="rId1"/>
  <ignoredErrors>
    <ignoredError sqref="M13:M15" unlockedFormula="1"/>
  </ignoredError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intern_Tabelle2!$A$1:$A$21</xm:f>
          </x14:formula1>
          <xm:sqref>N4 M19</xm:sqref>
        </x14:dataValidation>
        <x14:dataValidation type="list" allowBlank="1" showInputMessage="1" showErrorMessage="1">
          <x14:formula1>
            <xm:f>intern_DropDown!$L$2:$L$3</xm:f>
          </x14:formula1>
          <xm:sqref>N18 M17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321">
    <pageSetUpPr autoPageBreaks="0"/>
  </sheetPr>
  <dimension ref="A1:O31"/>
  <sheetViews>
    <sheetView showGridLines="0" showRowColHeaders="0" zoomScaleNormal="100" workbookViewId="0">
      <selection activeCell="J3" sqref="J3:L3"/>
    </sheetView>
  </sheetViews>
  <sheetFormatPr baseColWidth="10" defaultRowHeight="15" x14ac:dyDescent="0.3"/>
  <cols>
    <col min="1" max="1" width="3" style="1" customWidth="1"/>
    <col min="2" max="2" width="1.7109375" style="214" customWidth="1"/>
    <col min="3" max="3" width="14.28515625" style="214" customWidth="1"/>
    <col min="4" max="4" width="12.7109375" style="214" customWidth="1"/>
    <col min="5" max="5" width="15.28515625" style="214" bestFit="1" customWidth="1"/>
    <col min="6" max="6" width="4.85546875" style="214" customWidth="1"/>
    <col min="7" max="7" width="1.7109375" style="214" customWidth="1"/>
    <col min="8" max="8" width="10.7109375" style="1" customWidth="1"/>
    <col min="9" max="9" width="24.42578125" style="268" customWidth="1"/>
    <col min="10" max="10" width="15.140625" style="268" customWidth="1"/>
    <col min="11" max="11" width="11.85546875" style="268" bestFit="1" customWidth="1"/>
    <col min="12" max="12" width="11.42578125" style="268"/>
    <col min="13" max="13" width="6.28515625" style="263" customWidth="1"/>
    <col min="14" max="14" width="34.7109375" style="273" customWidth="1"/>
    <col min="15" max="15" width="11.42578125" style="268"/>
    <col min="16" max="16384" width="11.42578125" style="1"/>
  </cols>
  <sheetData>
    <row r="1" spans="2:14" ht="30" customHeight="1" x14ac:dyDescent="0.35">
      <c r="H1" s="2"/>
      <c r="I1" s="596" t="str">
        <f>intern_Datenblatt!B1</f>
        <v>Verändern Sie hier den Beleg:</v>
      </c>
      <c r="J1" s="596"/>
      <c r="K1" s="596"/>
      <c r="L1" s="596"/>
      <c r="M1" s="303"/>
      <c r="N1" s="500" t="str">
        <f>intern_Datenblatt!B3</f>
        <v>Zurück zur Belegverwaltung</v>
      </c>
    </row>
    <row r="2" spans="2:14" ht="12.95" customHeight="1" x14ac:dyDescent="0.3">
      <c r="B2" s="215"/>
      <c r="C2" s="216"/>
      <c r="D2" s="216"/>
      <c r="E2" s="216"/>
      <c r="F2" s="216"/>
      <c r="G2" s="217"/>
      <c r="H2" s="20"/>
      <c r="J2" s="269"/>
      <c r="N2" s="500"/>
    </row>
    <row r="3" spans="2:14" ht="15" customHeight="1" thickBot="1" x14ac:dyDescent="0.35">
      <c r="B3" s="218"/>
      <c r="C3" s="219"/>
      <c r="D3" s="219"/>
      <c r="E3" s="219"/>
      <c r="F3" s="219"/>
      <c r="G3" s="220"/>
      <c r="H3" s="40"/>
      <c r="I3" s="268" t="s">
        <v>217</v>
      </c>
      <c r="J3" s="510" t="s">
        <v>218</v>
      </c>
      <c r="K3" s="510"/>
      <c r="L3" s="510"/>
      <c r="M3" s="304"/>
    </row>
    <row r="4" spans="2:14" ht="15" customHeight="1" thickBot="1" x14ac:dyDescent="0.35">
      <c r="B4" s="218"/>
      <c r="C4" s="219"/>
      <c r="D4" s="219"/>
      <c r="E4" s="219"/>
      <c r="F4" s="219"/>
      <c r="G4" s="220"/>
      <c r="H4" s="40"/>
      <c r="I4" s="268" t="str">
        <f>intern_Datenblatt!A6</f>
        <v>Adresse</v>
      </c>
      <c r="J4" s="511" t="s">
        <v>219</v>
      </c>
      <c r="K4" s="511"/>
      <c r="L4" s="511"/>
      <c r="M4" s="304"/>
      <c r="N4" s="411"/>
    </row>
    <row r="5" spans="2:14" ht="15" customHeight="1" thickBot="1" x14ac:dyDescent="0.35">
      <c r="B5" s="218"/>
      <c r="C5" s="219"/>
      <c r="D5" s="219"/>
      <c r="E5" s="219"/>
      <c r="F5" s="219"/>
      <c r="G5" s="220"/>
      <c r="H5" s="40"/>
      <c r="I5" s="268" t="str">
        <f>intern_Datenblatt!A51</f>
        <v>PLZ und Ort</v>
      </c>
      <c r="J5" s="511" t="s">
        <v>220</v>
      </c>
      <c r="K5" s="511"/>
      <c r="L5" s="511"/>
      <c r="M5" s="304"/>
      <c r="N5" s="409" t="str">
        <f>intern_Datenblatt!B4</f>
        <v>Beleg kopieren</v>
      </c>
    </row>
    <row r="6" spans="2:14" ht="15" customHeight="1" thickBot="1" x14ac:dyDescent="0.35">
      <c r="B6" s="218"/>
      <c r="C6" s="600" t="s">
        <v>215</v>
      </c>
      <c r="D6" s="600"/>
      <c r="E6" s="600"/>
      <c r="F6" s="600"/>
      <c r="G6" s="220"/>
      <c r="H6" s="2"/>
      <c r="I6" s="268" t="str">
        <f>intern_Datenblatt!A66</f>
        <v>Telefon</v>
      </c>
      <c r="J6" s="512" t="s">
        <v>221</v>
      </c>
      <c r="K6" s="512"/>
      <c r="L6" s="512"/>
      <c r="M6" s="304"/>
    </row>
    <row r="7" spans="2:14" ht="15" customHeight="1" thickBot="1" x14ac:dyDescent="0.35">
      <c r="B7" s="218"/>
      <c r="C7" s="600" t="s">
        <v>216</v>
      </c>
      <c r="D7" s="600"/>
      <c r="E7" s="600"/>
      <c r="F7" s="600"/>
      <c r="G7" s="220"/>
      <c r="H7" s="20"/>
      <c r="I7" s="268" t="str">
        <f>+intern_Datenblatt!A22</f>
        <v>E-Mail</v>
      </c>
      <c r="J7" s="597" t="s">
        <v>222</v>
      </c>
      <c r="K7" s="597"/>
      <c r="L7" s="597"/>
      <c r="M7" s="304"/>
    </row>
    <row r="8" spans="2:14" ht="15" customHeight="1" thickBot="1" x14ac:dyDescent="0.35">
      <c r="B8" s="218"/>
      <c r="C8" s="219"/>
      <c r="D8" s="219"/>
      <c r="E8" s="219"/>
      <c r="F8" s="219"/>
      <c r="G8" s="220"/>
      <c r="H8" s="41"/>
      <c r="I8" s="268" t="s">
        <v>224</v>
      </c>
      <c r="J8" s="598" t="s">
        <v>247</v>
      </c>
      <c r="K8" s="598"/>
      <c r="L8" s="598"/>
      <c r="M8" s="304"/>
    </row>
    <row r="9" spans="2:14" ht="15" customHeight="1" thickBot="1" x14ac:dyDescent="0.35">
      <c r="B9" s="218"/>
      <c r="C9" s="604" t="str">
        <f>IF(J3="","",CONCATENATE(I3," ",J3))</f>
        <v>Mautstelle Gleinalm</v>
      </c>
      <c r="D9" s="604"/>
      <c r="E9" s="604"/>
      <c r="F9" s="604"/>
      <c r="G9" s="220"/>
      <c r="H9" s="42"/>
      <c r="I9" s="268" t="str">
        <f>+intern_Datenblatt!A54</f>
        <v>Preis</v>
      </c>
      <c r="J9" s="599">
        <v>13.9</v>
      </c>
      <c r="K9" s="599"/>
      <c r="L9" s="599"/>
      <c r="M9" s="305"/>
    </row>
    <row r="10" spans="2:14" ht="15" customHeight="1" thickBot="1" x14ac:dyDescent="0.35">
      <c r="B10" s="218"/>
      <c r="C10" s="604" t="str">
        <f>+CONCATENATE(J4,", ",J5)</f>
        <v>Vorderlainsach 34, 8770 St. Michael</v>
      </c>
      <c r="D10" s="604"/>
      <c r="E10" s="604"/>
      <c r="F10" s="604"/>
      <c r="G10" s="220"/>
      <c r="H10" s="42"/>
      <c r="I10" s="268" t="str">
        <f>intern_Datenblatt!A20</f>
        <v>Datum</v>
      </c>
      <c r="J10" s="506">
        <f ca="1">DATE(YEAR(TODAY()),12,23)</f>
        <v>44188</v>
      </c>
      <c r="K10" s="506"/>
      <c r="L10" s="506"/>
      <c r="M10" s="304"/>
    </row>
    <row r="11" spans="2:14" ht="15" customHeight="1" x14ac:dyDescent="0.3">
      <c r="B11" s="218"/>
      <c r="C11" s="604" t="str">
        <f>+IF(J6="","",CONCATENATE(I6,": ",J6))</f>
        <v>Telefon: +43 1 956 1266</v>
      </c>
      <c r="D11" s="604"/>
      <c r="E11" s="604"/>
      <c r="F11" s="604"/>
      <c r="G11" s="220"/>
      <c r="H11" s="42"/>
      <c r="I11" s="268" t="str">
        <f>intern_Datenblatt!A75</f>
        <v>Auswahl Zahlungsart</v>
      </c>
      <c r="J11" s="505" t="s">
        <v>38</v>
      </c>
      <c r="K11" s="505"/>
      <c r="L11" s="505"/>
      <c r="M11" s="304"/>
      <c r="N11" s="464" t="str">
        <f>IF(J11="AUF ZIEL","NEIN","JA")</f>
        <v>JA</v>
      </c>
    </row>
    <row r="12" spans="2:14" ht="15" customHeight="1" x14ac:dyDescent="0.3">
      <c r="B12" s="218"/>
      <c r="C12" s="604" t="str">
        <f>+IF(J7="","",CONCATENATE(I7,": ",J7))</f>
        <v>E-Mail: info@asfinag.at</v>
      </c>
      <c r="D12" s="604"/>
      <c r="E12" s="604"/>
      <c r="F12" s="604"/>
      <c r="G12" s="220"/>
      <c r="H12" s="20"/>
      <c r="M12" s="304"/>
    </row>
    <row r="13" spans="2:14" ht="15" customHeight="1" x14ac:dyDescent="0.3">
      <c r="B13" s="218"/>
      <c r="C13" s="219"/>
      <c r="D13" s="219"/>
      <c r="E13" s="219"/>
      <c r="F13" s="219"/>
      <c r="G13" s="220"/>
      <c r="H13" s="43"/>
      <c r="M13" s="268"/>
      <c r="N13" s="268"/>
    </row>
    <row r="14" spans="2:14" ht="15" customHeight="1" x14ac:dyDescent="0.3">
      <c r="B14" s="218"/>
      <c r="C14" s="219"/>
      <c r="D14" s="219"/>
      <c r="E14" s="219"/>
      <c r="F14" s="219"/>
      <c r="G14" s="220"/>
      <c r="H14" s="43"/>
      <c r="M14" s="268"/>
      <c r="N14" s="268"/>
    </row>
    <row r="15" spans="2:14" ht="15" customHeight="1" x14ac:dyDescent="0.3">
      <c r="B15" s="218"/>
      <c r="C15" s="605" t="str">
        <f>IF(J3="","",J3)</f>
        <v>Gleinalm</v>
      </c>
      <c r="D15" s="605"/>
      <c r="E15" s="601">
        <f ca="1">+IF(J10="","",J10)</f>
        <v>44188</v>
      </c>
      <c r="F15" s="601"/>
      <c r="G15" s="220"/>
      <c r="H15" s="43"/>
      <c r="M15" s="268"/>
      <c r="N15" s="268"/>
    </row>
    <row r="16" spans="2:14" ht="15" customHeight="1" x14ac:dyDescent="0.3">
      <c r="B16" s="218"/>
      <c r="C16" s="605" t="str">
        <f ca="1">+CONCATENATE("0",RANDBETWEEN(10,88),"/",RANDBETWEEN(10,88),"  ",RANDBETWEEN(10000000000000,99999999999999))</f>
        <v>019/87  70222339759614</v>
      </c>
      <c r="D16" s="605"/>
      <c r="E16" s="602">
        <f ca="1">+NOW()</f>
        <v>44001.490753356484</v>
      </c>
      <c r="F16" s="602"/>
      <c r="G16" s="220"/>
      <c r="H16" s="44"/>
      <c r="M16" s="268"/>
      <c r="N16" s="268"/>
    </row>
    <row r="17" spans="1:15" s="112" customFormat="1" ht="15" customHeight="1" x14ac:dyDescent="0.3">
      <c r="A17" s="1"/>
      <c r="B17" s="218"/>
      <c r="C17" s="219" t="s">
        <v>223</v>
      </c>
      <c r="D17" s="219"/>
      <c r="E17" s="603" t="str">
        <f>+IF(J8="","",J8)</f>
        <v>1/PKW bis 3,5t</v>
      </c>
      <c r="F17" s="603"/>
      <c r="G17" s="220"/>
      <c r="H17" s="45"/>
      <c r="I17" s="268"/>
      <c r="J17" s="268"/>
      <c r="K17" s="268"/>
      <c r="L17" s="268"/>
      <c r="M17" s="268"/>
      <c r="N17" s="268"/>
      <c r="O17" s="268"/>
    </row>
    <row r="18" spans="1:15" s="112" customFormat="1" ht="15" customHeight="1" x14ac:dyDescent="0.3">
      <c r="A18" s="1"/>
      <c r="B18" s="218"/>
      <c r="C18" s="219" t="s">
        <v>225</v>
      </c>
      <c r="D18" s="221">
        <f>IF(J9="","",J9)</f>
        <v>13.9</v>
      </c>
      <c r="E18" s="219"/>
      <c r="F18" s="219"/>
      <c r="G18" s="220"/>
      <c r="H18" s="26"/>
      <c r="I18" s="268"/>
      <c r="J18" s="268"/>
      <c r="K18" s="268"/>
      <c r="L18" s="268"/>
      <c r="M18" s="268"/>
      <c r="N18" s="268"/>
      <c r="O18" s="268"/>
    </row>
    <row r="19" spans="1:15" s="112" customFormat="1" ht="15" customHeight="1" x14ac:dyDescent="0.3">
      <c r="A19" s="1"/>
      <c r="B19" s="218"/>
      <c r="C19" s="219" t="str">
        <f>IF(J11="BAR","Valuten EUR",IF(J11="MAESTRO","Karte","Kreditkarte"))</f>
        <v>Kreditkarte</v>
      </c>
      <c r="D19" s="605" t="str">
        <f>+IF(J11="bar","",J11)</f>
        <v>MASTERCARD</v>
      </c>
      <c r="E19" s="605"/>
      <c r="F19" s="219"/>
      <c r="G19" s="220"/>
      <c r="H19" s="26"/>
      <c r="I19" s="268"/>
      <c r="J19" s="268"/>
      <c r="K19" s="268"/>
      <c r="L19" s="268"/>
      <c r="M19" s="268"/>
      <c r="N19" s="268"/>
      <c r="O19" s="268"/>
    </row>
    <row r="20" spans="1:15" s="112" customFormat="1" ht="15" customHeight="1" x14ac:dyDescent="0.3">
      <c r="A20" s="1"/>
      <c r="B20" s="218"/>
      <c r="C20" s="219" t="s">
        <v>226</v>
      </c>
      <c r="D20" s="219"/>
      <c r="E20" s="225">
        <f>IF(J9="","",J9)</f>
        <v>13.9</v>
      </c>
      <c r="F20" s="219" t="s">
        <v>26</v>
      </c>
      <c r="G20" s="220"/>
      <c r="H20" s="40"/>
      <c r="I20" s="268"/>
      <c r="J20" s="268"/>
      <c r="K20" s="268"/>
      <c r="L20" s="268"/>
      <c r="M20" s="268"/>
      <c r="N20" s="268"/>
      <c r="O20" s="268"/>
    </row>
    <row r="21" spans="1:15" s="112" customFormat="1" ht="15" customHeight="1" x14ac:dyDescent="0.3">
      <c r="A21" s="1"/>
      <c r="B21" s="218"/>
      <c r="C21" s="219" t="s">
        <v>227</v>
      </c>
      <c r="D21" s="219"/>
      <c r="E21" s="219"/>
      <c r="F21" s="219"/>
      <c r="G21" s="220"/>
      <c r="H21" s="46"/>
      <c r="I21" s="268"/>
      <c r="J21" s="268"/>
      <c r="K21" s="268"/>
      <c r="L21" s="268"/>
      <c r="M21" s="268"/>
      <c r="N21" s="268"/>
      <c r="O21" s="268"/>
    </row>
    <row r="22" spans="1:15" s="112" customFormat="1" ht="15" customHeight="1" x14ac:dyDescent="0.3">
      <c r="A22" s="1"/>
      <c r="B22" s="218"/>
      <c r="C22" s="219"/>
      <c r="D22" s="219"/>
      <c r="E22" s="219"/>
      <c r="F22" s="219"/>
      <c r="G22" s="220"/>
      <c r="H22" s="46"/>
      <c r="I22" s="268"/>
      <c r="J22" s="268"/>
      <c r="K22" s="268"/>
      <c r="L22" s="268"/>
      <c r="M22" s="268"/>
      <c r="N22" s="268"/>
      <c r="O22" s="268"/>
    </row>
    <row r="23" spans="1:15" s="112" customFormat="1" ht="15" customHeight="1" x14ac:dyDescent="0.3">
      <c r="A23" s="1"/>
      <c r="B23" s="218"/>
      <c r="C23" s="219" t="s">
        <v>229</v>
      </c>
      <c r="D23" s="219"/>
      <c r="E23" s="219"/>
      <c r="F23" s="219"/>
      <c r="G23" s="220"/>
      <c r="H23" s="2"/>
      <c r="I23" s="268"/>
      <c r="J23" s="268"/>
      <c r="K23" s="268"/>
      <c r="L23" s="268"/>
      <c r="M23" s="268"/>
      <c r="N23" s="268"/>
      <c r="O23" s="268"/>
    </row>
    <row r="24" spans="1:15" s="112" customFormat="1" ht="18" customHeight="1" x14ac:dyDescent="0.3">
      <c r="A24" s="1"/>
      <c r="B24" s="218"/>
      <c r="C24" s="219"/>
      <c r="D24" s="219"/>
      <c r="E24" s="219"/>
      <c r="F24" s="219"/>
      <c r="G24" s="220"/>
      <c r="H24" s="213"/>
      <c r="I24" s="268"/>
      <c r="J24" s="268"/>
      <c r="K24" s="268"/>
      <c r="L24" s="268"/>
      <c r="M24" s="268"/>
      <c r="N24" s="268"/>
      <c r="O24" s="268"/>
    </row>
    <row r="25" spans="1:15" s="112" customFormat="1" ht="18" customHeight="1" x14ac:dyDescent="0.3">
      <c r="A25" s="1"/>
      <c r="B25" s="218"/>
      <c r="C25" s="219"/>
      <c r="D25" s="219"/>
      <c r="E25" s="219"/>
      <c r="F25" s="219"/>
      <c r="G25" s="220"/>
      <c r="H25" s="2"/>
      <c r="I25" s="268"/>
      <c r="J25" s="268"/>
      <c r="K25" s="268"/>
      <c r="L25" s="268"/>
      <c r="M25" s="263"/>
      <c r="N25" s="273"/>
      <c r="O25" s="268"/>
    </row>
    <row r="26" spans="1:15" s="112" customFormat="1" ht="18" customHeight="1" x14ac:dyDescent="0.3">
      <c r="A26" s="1"/>
      <c r="B26" s="218"/>
      <c r="C26" s="219"/>
      <c r="D26" s="219"/>
      <c r="E26" s="219"/>
      <c r="F26" s="219"/>
      <c r="G26" s="220"/>
      <c r="H26" s="2"/>
      <c r="I26" s="268"/>
      <c r="J26" s="268"/>
      <c r="K26" s="268"/>
      <c r="L26" s="268"/>
      <c r="M26" s="263"/>
      <c r="N26" s="273"/>
      <c r="O26" s="268"/>
    </row>
    <row r="27" spans="1:15" s="112" customFormat="1" ht="18" customHeight="1" x14ac:dyDescent="0.3">
      <c r="A27" s="1"/>
      <c r="B27" s="218"/>
      <c r="C27" s="219"/>
      <c r="D27" s="219"/>
      <c r="E27" s="219"/>
      <c r="F27" s="219"/>
      <c r="G27" s="220"/>
      <c r="H27" s="2"/>
      <c r="I27" s="268"/>
      <c r="J27" s="268"/>
      <c r="K27" s="268"/>
      <c r="L27" s="268"/>
      <c r="M27" s="263"/>
      <c r="N27" s="273"/>
      <c r="O27" s="268"/>
    </row>
    <row r="28" spans="1:15" s="112" customFormat="1" ht="15" customHeight="1" x14ac:dyDescent="0.3">
      <c r="A28" s="1"/>
      <c r="B28" s="218"/>
      <c r="C28" s="600" t="s">
        <v>228</v>
      </c>
      <c r="D28" s="600"/>
      <c r="E28" s="600"/>
      <c r="F28" s="600"/>
      <c r="G28" s="220"/>
      <c r="H28" s="2"/>
      <c r="I28" s="268"/>
      <c r="J28" s="268"/>
      <c r="K28" s="268"/>
      <c r="L28" s="268"/>
      <c r="M28" s="263"/>
      <c r="N28" s="273"/>
      <c r="O28" s="268"/>
    </row>
    <row r="29" spans="1:15" s="112" customFormat="1" ht="15" customHeight="1" x14ac:dyDescent="0.3">
      <c r="A29" s="1"/>
      <c r="B29" s="218"/>
      <c r="C29" s="242"/>
      <c r="D29" s="242"/>
      <c r="E29" s="242"/>
      <c r="F29" s="242"/>
      <c r="G29" s="220"/>
      <c r="H29" s="2"/>
      <c r="I29" s="268"/>
      <c r="J29" s="268"/>
      <c r="K29" s="268"/>
      <c r="L29" s="268"/>
      <c r="M29" s="263"/>
      <c r="N29" s="273"/>
      <c r="O29" s="268"/>
    </row>
    <row r="30" spans="1:15" s="112" customFormat="1" ht="15" customHeight="1" x14ac:dyDescent="0.3">
      <c r="A30" s="1"/>
      <c r="B30" s="222"/>
      <c r="C30" s="223"/>
      <c r="D30" s="223"/>
      <c r="E30" s="223"/>
      <c r="F30" s="223"/>
      <c r="G30" s="224"/>
      <c r="H30" s="2"/>
      <c r="I30" s="268"/>
      <c r="J30" s="268"/>
      <c r="K30" s="268"/>
      <c r="L30" s="268"/>
      <c r="M30" s="263"/>
      <c r="N30" s="273"/>
      <c r="O30" s="268"/>
    </row>
    <row r="31" spans="1:15" s="112" customFormat="1" ht="15" customHeight="1" x14ac:dyDescent="0.3">
      <c r="A31" s="1"/>
      <c r="B31" s="214"/>
      <c r="C31" s="214"/>
      <c r="D31" s="214"/>
      <c r="E31" s="214"/>
      <c r="F31" s="214"/>
      <c r="G31" s="214"/>
      <c r="H31" s="2"/>
      <c r="I31" s="268"/>
      <c r="J31" s="268"/>
      <c r="K31" s="268"/>
      <c r="L31" s="268"/>
      <c r="M31" s="263"/>
      <c r="N31" s="273"/>
      <c r="O31" s="268"/>
    </row>
  </sheetData>
  <sheetProtection algorithmName="SHA-512" hashValue="R4nDXLhzGDAVR0uY4IEVDQB1SonnRGX5PH98nJA3ah95hRkFYvzLHnvP7WarbGAViF46zHqs8NU3GpLLEe4Q2Q==" saltValue="s3aquJgsUP5AC4BVRa+Mjw==" spinCount="100000" sheet="1" objects="1" scenarios="1" selectLockedCells="1"/>
  <mergeCells count="24">
    <mergeCell ref="C28:F28"/>
    <mergeCell ref="E15:F15"/>
    <mergeCell ref="E16:F16"/>
    <mergeCell ref="E17:F17"/>
    <mergeCell ref="C6:F6"/>
    <mergeCell ref="C7:F7"/>
    <mergeCell ref="C9:F9"/>
    <mergeCell ref="C10:F10"/>
    <mergeCell ref="C11:F11"/>
    <mergeCell ref="C12:F12"/>
    <mergeCell ref="C16:D16"/>
    <mergeCell ref="D19:E19"/>
    <mergeCell ref="C15:D15"/>
    <mergeCell ref="J11:L11"/>
    <mergeCell ref="J7:L7"/>
    <mergeCell ref="J10:L10"/>
    <mergeCell ref="J8:L8"/>
    <mergeCell ref="J9:L9"/>
    <mergeCell ref="J4:L4"/>
    <mergeCell ref="J5:L5"/>
    <mergeCell ref="J6:L6"/>
    <mergeCell ref="I1:L1"/>
    <mergeCell ref="N1:N2"/>
    <mergeCell ref="J3:L3"/>
  </mergeCells>
  <dataValidations count="1">
    <dataValidation type="list" allowBlank="1" showInputMessage="1" showErrorMessage="1" sqref="J11:L11">
      <formula1>Zahlungsarten_sofort</formula1>
    </dataValidation>
  </dataValidations>
  <hyperlinks>
    <hyperlink ref="N1" location="Belegverwaltung!Druckbereich" display="Zurück zur Belegverwaltung"/>
    <hyperlink ref="N1:N2" location="Belegverwaltung!A1" display="Zurück zur Belegverwaltung"/>
  </hyperlinks>
  <pageMargins left="0.70866141732283472" right="0.70866141732283472" top="0.78740157480314965" bottom="0.78740157480314965" header="0.31496062992125984" footer="0.31496062992125984"/>
  <pageSetup paperSize="9" orientation="portrait" horizontalDpi="300" verticalDpi="300" r:id="rId1"/>
  <colBreaks count="1" manualBreakCount="1">
    <brk id="7" max="1048575" man="1"/>
  </col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41"/>
  <dimension ref="B1:P29"/>
  <sheetViews>
    <sheetView showGridLines="0" showRowColHeaders="0" zoomScaleNormal="100" zoomScaleSheetLayoutView="89" workbookViewId="0">
      <selection activeCell="L3" sqref="L3:M3"/>
    </sheetView>
  </sheetViews>
  <sheetFormatPr baseColWidth="10" defaultRowHeight="15" x14ac:dyDescent="0.3"/>
  <cols>
    <col min="1" max="1" width="3.7109375" style="1" customWidth="1"/>
    <col min="2" max="2" width="1.7109375" style="1" customWidth="1"/>
    <col min="3" max="3" width="4.7109375" style="1" bestFit="1" customWidth="1"/>
    <col min="4" max="4" width="25.42578125" style="1" customWidth="1"/>
    <col min="5" max="5" width="10" style="1" customWidth="1"/>
    <col min="6" max="6" width="11.5703125" style="1" bestFit="1" customWidth="1"/>
    <col min="7" max="7" width="2.28515625" style="1" customWidth="1"/>
    <col min="8" max="8" width="1.7109375" style="1" customWidth="1"/>
    <col min="9" max="9" width="10.7109375" style="1" customWidth="1"/>
    <col min="10" max="10" width="10.5703125" style="268" customWidth="1"/>
    <col min="11" max="11" width="12.5703125" style="268" customWidth="1"/>
    <col min="12" max="12" width="20.85546875" style="268" customWidth="1"/>
    <col min="13" max="13" width="12.28515625" style="268" customWidth="1"/>
    <col min="14" max="14" width="6.28515625" style="261" customWidth="1"/>
    <col min="15" max="15" width="34.7109375" style="268" customWidth="1"/>
    <col min="16" max="16" width="11.42578125" style="268"/>
    <col min="17" max="16384" width="11.42578125" style="1"/>
  </cols>
  <sheetData>
    <row r="1" spans="2:15" ht="30" customHeight="1" x14ac:dyDescent="0.35">
      <c r="J1" s="596" t="str">
        <f>intern_Datenblatt!B1</f>
        <v>Verändern Sie hier den Beleg:</v>
      </c>
      <c r="K1" s="596"/>
      <c r="L1" s="596"/>
      <c r="M1" s="596"/>
      <c r="N1" s="267"/>
      <c r="O1" s="500" t="str">
        <f>intern_Datenblatt!B3</f>
        <v>Zurück zur Belegverwaltung</v>
      </c>
    </row>
    <row r="2" spans="2:15" ht="12.95" customHeight="1" x14ac:dyDescent="0.35">
      <c r="B2" s="3"/>
      <c r="C2" s="4"/>
      <c r="D2" s="4"/>
      <c r="E2" s="4"/>
      <c r="F2" s="4"/>
      <c r="G2" s="5"/>
      <c r="L2" s="280"/>
      <c r="O2" s="500"/>
    </row>
    <row r="3" spans="2:15" ht="17.100000000000001" customHeight="1" thickBot="1" x14ac:dyDescent="0.35">
      <c r="B3" s="6"/>
      <c r="C3" s="606" t="str">
        <f>IF(L3="","",L3)</f>
        <v>Änderungsschneiderei</v>
      </c>
      <c r="D3" s="606"/>
      <c r="E3" s="606"/>
      <c r="F3" s="606"/>
      <c r="G3" s="7"/>
      <c r="I3" s="20"/>
      <c r="J3" s="607" t="str">
        <f>intern_Datenblatt!A27</f>
        <v>Geschäftsbezeichnung</v>
      </c>
      <c r="K3" s="607"/>
      <c r="L3" s="510" t="s">
        <v>393</v>
      </c>
      <c r="M3" s="510"/>
      <c r="N3" s="270"/>
    </row>
    <row r="4" spans="2:15" ht="17.100000000000001" customHeight="1" thickBot="1" x14ac:dyDescent="0.35">
      <c r="B4" s="6"/>
      <c r="C4" s="606"/>
      <c r="D4" s="606"/>
      <c r="E4" s="606"/>
      <c r="F4" s="606"/>
      <c r="G4" s="7"/>
      <c r="I4" s="20"/>
      <c r="J4" s="607" t="str">
        <f>+intern_Datenblatt!A29</f>
        <v>Firma</v>
      </c>
      <c r="K4" s="607"/>
      <c r="L4" s="511" t="s">
        <v>468</v>
      </c>
      <c r="M4" s="511"/>
      <c r="N4" s="270"/>
      <c r="O4" s="411"/>
    </row>
    <row r="5" spans="2:15" ht="17.100000000000001" customHeight="1" thickBot="1" x14ac:dyDescent="0.35">
      <c r="B5" s="6"/>
      <c r="C5" s="608" t="str">
        <f>IF(L4="","",L4)</f>
        <v>Jana Mayrhuber</v>
      </c>
      <c r="D5" s="608"/>
      <c r="E5" s="608"/>
      <c r="F5" s="608"/>
      <c r="G5" s="7"/>
      <c r="I5" s="212"/>
      <c r="J5" s="607" t="str">
        <f>+intern_Datenblatt!A51</f>
        <v>PLZ und Ort</v>
      </c>
      <c r="K5" s="607"/>
      <c r="L5" s="511" t="s">
        <v>469</v>
      </c>
      <c r="M5" s="511"/>
      <c r="N5" s="270"/>
      <c r="O5" s="409" t="str">
        <f>intern_Datenblatt!B4</f>
        <v>Beleg kopieren</v>
      </c>
    </row>
    <row r="6" spans="2:15" ht="17.100000000000001" customHeight="1" thickBot="1" x14ac:dyDescent="0.35">
      <c r="B6" s="6"/>
      <c r="C6" s="609" t="str">
        <f>+IF(L5="",L6,CONCATENATE(L5,", ",L6))</f>
        <v>6175 Kematen, Dorfplatz 17</v>
      </c>
      <c r="D6" s="609"/>
      <c r="E6" s="609"/>
      <c r="F6" s="609"/>
      <c r="G6" s="7"/>
      <c r="I6" s="212"/>
      <c r="J6" s="607" t="str">
        <f>+intern_Datenblatt!A6</f>
        <v>Adresse</v>
      </c>
      <c r="K6" s="607"/>
      <c r="L6" s="511" t="s">
        <v>470</v>
      </c>
      <c r="M6" s="511"/>
      <c r="N6" s="270"/>
    </row>
    <row r="7" spans="2:15" ht="17.100000000000001" customHeight="1" thickBot="1" x14ac:dyDescent="0.35">
      <c r="B7" s="6"/>
      <c r="C7" s="609" t="str">
        <f>+IF(L7="","",CONCATENATE(J7," ",L7))</f>
        <v>Telefon +43 5232 82 28</v>
      </c>
      <c r="D7" s="609"/>
      <c r="E7" s="609"/>
      <c r="F7" s="609"/>
      <c r="G7" s="7"/>
      <c r="I7" s="212"/>
      <c r="J7" s="607" t="str">
        <f>+intern_Datenblatt!A66</f>
        <v>Telefon</v>
      </c>
      <c r="K7" s="607"/>
      <c r="L7" s="512" t="s">
        <v>471</v>
      </c>
      <c r="M7" s="512"/>
      <c r="N7" s="270"/>
    </row>
    <row r="8" spans="2:15" ht="17.100000000000001" customHeight="1" thickBot="1" x14ac:dyDescent="0.35">
      <c r="B8" s="6"/>
      <c r="C8" s="609" t="str">
        <f>+IF(L8="","",CONCATENATE(J8," ",L8))</f>
        <v>UID-Nr. ATU15263740</v>
      </c>
      <c r="D8" s="609"/>
      <c r="E8" s="609"/>
      <c r="F8" s="609"/>
      <c r="G8" s="7"/>
      <c r="I8" s="2"/>
      <c r="J8" s="607" t="str">
        <f>+intern_Datenblatt!A68</f>
        <v>UID-Nr.</v>
      </c>
      <c r="K8" s="607"/>
      <c r="L8" s="511" t="s">
        <v>472</v>
      </c>
      <c r="M8" s="511"/>
      <c r="N8" s="270"/>
    </row>
    <row r="9" spans="2:15" ht="17.100000000000001" customHeight="1" thickBot="1" x14ac:dyDescent="0.35">
      <c r="B9" s="6"/>
      <c r="C9" s="2"/>
      <c r="D9" s="2"/>
      <c r="E9" s="2"/>
      <c r="F9" s="2"/>
      <c r="G9" s="7"/>
      <c r="I9" s="20"/>
      <c r="J9" s="607" t="str">
        <f>+intern_Datenblatt!A20</f>
        <v>Datum</v>
      </c>
      <c r="K9" s="607"/>
      <c r="L9" s="506">
        <f ca="1">DATE(YEAR(TODAY()),12,28)</f>
        <v>44193</v>
      </c>
      <c r="M9" s="506"/>
      <c r="N9" s="270"/>
    </row>
    <row r="10" spans="2:15" ht="17.100000000000001" customHeight="1" thickBot="1" x14ac:dyDescent="0.35">
      <c r="B10" s="6"/>
      <c r="C10" s="226"/>
      <c r="D10" s="226"/>
      <c r="E10" s="226"/>
      <c r="F10" s="226"/>
      <c r="G10" s="7"/>
      <c r="I10" s="21"/>
      <c r="N10" s="270"/>
    </row>
    <row r="11" spans="2:15" ht="17.100000000000001" customHeight="1" x14ac:dyDescent="0.35">
      <c r="B11" s="6"/>
      <c r="C11" s="227" t="s">
        <v>231</v>
      </c>
      <c r="D11" s="402">
        <f ca="1">IF(L9="","",L9)</f>
        <v>44193</v>
      </c>
      <c r="E11" s="229" t="s">
        <v>0</v>
      </c>
      <c r="F11" s="228" t="s">
        <v>26</v>
      </c>
      <c r="G11" s="7"/>
      <c r="I11" s="22"/>
      <c r="N11" s="270"/>
    </row>
    <row r="12" spans="2:15" ht="17.100000000000001" customHeight="1" x14ac:dyDescent="0.35">
      <c r="B12" s="6"/>
      <c r="C12" s="390">
        <f t="shared" ref="C12:C22" si="0">+IF(J14="","",J14)</f>
        <v>2</v>
      </c>
      <c r="D12" s="389" t="str">
        <f t="shared" ref="D12:D22" si="1">+IF(K14="","",K14)</f>
        <v>Arbeitsmantel</v>
      </c>
      <c r="E12" s="391">
        <f>+IF(J14&gt;1,M14,"")</f>
        <v>39.9</v>
      </c>
      <c r="F12" s="392">
        <f>+IF(J14="","",J14*M14)</f>
        <v>79.8</v>
      </c>
      <c r="G12" s="7"/>
      <c r="I12" s="22"/>
      <c r="K12" s="274"/>
      <c r="N12" s="268"/>
    </row>
    <row r="13" spans="2:15" ht="17.100000000000001" customHeight="1" x14ac:dyDescent="0.35">
      <c r="B13" s="6"/>
      <c r="C13" s="393">
        <f t="shared" si="0"/>
        <v>2</v>
      </c>
      <c r="D13" s="394" t="str">
        <f t="shared" si="1"/>
        <v>Arbeitsschürze</v>
      </c>
      <c r="E13" s="395">
        <f t="shared" ref="E13:E22" si="2">+IF(J15&gt;1,M15,"")</f>
        <v>24.9</v>
      </c>
      <c r="F13" s="396">
        <f t="shared" ref="F13:F22" si="3">+IF(J15="","",J15*M15)</f>
        <v>49.8</v>
      </c>
      <c r="G13" s="7"/>
      <c r="I13" s="22"/>
      <c r="J13" s="274" t="str">
        <f>+intern_Datenblatt!A42</f>
        <v>Menge</v>
      </c>
      <c r="K13" s="573" t="str">
        <f>+intern_Datenblatt!A8</f>
        <v>Artikelbezeichnung</v>
      </c>
      <c r="L13" s="573"/>
      <c r="M13" s="274" t="str">
        <f>+intern_Datenblatt!A54</f>
        <v>Preis</v>
      </c>
      <c r="N13" s="268"/>
    </row>
    <row r="14" spans="2:15" ht="17.100000000000001" customHeight="1" thickBot="1" x14ac:dyDescent="0.4">
      <c r="B14" s="6"/>
      <c r="C14" s="393">
        <f t="shared" si="0"/>
        <v>10</v>
      </c>
      <c r="D14" s="394" t="str">
        <f t="shared" si="1"/>
        <v>Friseurumhang schwarz</v>
      </c>
      <c r="E14" s="395">
        <f t="shared" si="2"/>
        <v>19.899999999999999</v>
      </c>
      <c r="F14" s="396">
        <f t="shared" si="3"/>
        <v>199</v>
      </c>
      <c r="G14" s="7"/>
      <c r="I14" s="22"/>
      <c r="J14" s="276">
        <v>2</v>
      </c>
      <c r="K14" s="615" t="s">
        <v>234</v>
      </c>
      <c r="L14" s="615"/>
      <c r="M14" s="316">
        <v>39.9</v>
      </c>
      <c r="N14" s="268"/>
    </row>
    <row r="15" spans="2:15" ht="17.100000000000001" customHeight="1" thickBot="1" x14ac:dyDescent="0.4">
      <c r="B15" s="6"/>
      <c r="C15" s="393" t="str">
        <f t="shared" si="0"/>
        <v/>
      </c>
      <c r="D15" s="394" t="str">
        <f t="shared" si="1"/>
        <v/>
      </c>
      <c r="E15" s="395" t="str">
        <f t="shared" si="2"/>
        <v/>
      </c>
      <c r="F15" s="396" t="str">
        <f t="shared" si="3"/>
        <v/>
      </c>
      <c r="G15" s="7"/>
      <c r="I15" s="20"/>
      <c r="J15" s="278">
        <v>2</v>
      </c>
      <c r="K15" s="610" t="s">
        <v>473</v>
      </c>
      <c r="L15" s="610"/>
      <c r="M15" s="286">
        <v>24.9</v>
      </c>
      <c r="N15" s="268"/>
    </row>
    <row r="16" spans="2:15" ht="17.100000000000001" customHeight="1" thickBot="1" x14ac:dyDescent="0.4">
      <c r="B16" s="6"/>
      <c r="C16" s="393" t="str">
        <f t="shared" si="0"/>
        <v/>
      </c>
      <c r="D16" s="394" t="str">
        <f t="shared" si="1"/>
        <v/>
      </c>
      <c r="E16" s="395" t="str">
        <f t="shared" si="2"/>
        <v/>
      </c>
      <c r="F16" s="396" t="str">
        <f t="shared" si="3"/>
        <v/>
      </c>
      <c r="G16" s="7"/>
      <c r="I16" s="23"/>
      <c r="J16" s="278">
        <v>10</v>
      </c>
      <c r="K16" s="610" t="s">
        <v>474</v>
      </c>
      <c r="L16" s="610"/>
      <c r="M16" s="286">
        <v>19.899999999999999</v>
      </c>
      <c r="N16" s="281"/>
    </row>
    <row r="17" spans="2:14" ht="17.100000000000001" customHeight="1" thickBot="1" x14ac:dyDescent="0.4">
      <c r="B17" s="6"/>
      <c r="C17" s="393" t="str">
        <f t="shared" si="0"/>
        <v/>
      </c>
      <c r="D17" s="394" t="str">
        <f t="shared" si="1"/>
        <v/>
      </c>
      <c r="E17" s="395" t="str">
        <f t="shared" si="2"/>
        <v/>
      </c>
      <c r="F17" s="396" t="str">
        <f t="shared" si="3"/>
        <v/>
      </c>
      <c r="G17" s="7"/>
      <c r="I17" s="23"/>
      <c r="J17" s="278"/>
      <c r="K17" s="610"/>
      <c r="L17" s="610"/>
      <c r="M17" s="286"/>
      <c r="N17" s="317"/>
    </row>
    <row r="18" spans="2:14" ht="17.100000000000001" customHeight="1" thickBot="1" x14ac:dyDescent="0.4">
      <c r="B18" s="6"/>
      <c r="C18" s="393" t="str">
        <f t="shared" si="0"/>
        <v/>
      </c>
      <c r="D18" s="394" t="str">
        <f t="shared" si="1"/>
        <v/>
      </c>
      <c r="E18" s="395" t="str">
        <f t="shared" si="2"/>
        <v/>
      </c>
      <c r="F18" s="396" t="str">
        <f t="shared" si="3"/>
        <v/>
      </c>
      <c r="G18" s="7"/>
      <c r="I18" s="23"/>
      <c r="J18" s="278"/>
      <c r="K18" s="610"/>
      <c r="L18" s="610"/>
      <c r="M18" s="286"/>
      <c r="N18" s="317"/>
    </row>
    <row r="19" spans="2:14" ht="17.100000000000001" customHeight="1" thickBot="1" x14ac:dyDescent="0.4">
      <c r="B19" s="6"/>
      <c r="C19" s="393" t="str">
        <f t="shared" si="0"/>
        <v/>
      </c>
      <c r="D19" s="394" t="str">
        <f t="shared" si="1"/>
        <v/>
      </c>
      <c r="E19" s="395" t="str">
        <f t="shared" si="2"/>
        <v/>
      </c>
      <c r="F19" s="396" t="str">
        <f t="shared" si="3"/>
        <v/>
      </c>
      <c r="G19" s="7"/>
      <c r="I19" s="24"/>
      <c r="J19" s="278"/>
      <c r="K19" s="610"/>
      <c r="L19" s="610"/>
      <c r="M19" s="286"/>
      <c r="N19" s="317"/>
    </row>
    <row r="20" spans="2:14" ht="17.100000000000001" customHeight="1" thickBot="1" x14ac:dyDescent="0.4">
      <c r="B20" s="6"/>
      <c r="C20" s="393" t="str">
        <f t="shared" si="0"/>
        <v/>
      </c>
      <c r="D20" s="394" t="str">
        <f t="shared" si="1"/>
        <v/>
      </c>
      <c r="E20" s="395" t="str">
        <f t="shared" si="2"/>
        <v/>
      </c>
      <c r="F20" s="396" t="str">
        <f t="shared" si="3"/>
        <v/>
      </c>
      <c r="G20" s="7"/>
      <c r="I20" s="25"/>
      <c r="J20" s="278"/>
      <c r="K20" s="610"/>
      <c r="L20" s="610"/>
      <c r="M20" s="286"/>
      <c r="N20" s="268"/>
    </row>
    <row r="21" spans="2:14" ht="17.100000000000001" customHeight="1" thickBot="1" x14ac:dyDescent="0.4">
      <c r="B21" s="6"/>
      <c r="C21" s="393" t="str">
        <f t="shared" si="0"/>
        <v/>
      </c>
      <c r="D21" s="394" t="str">
        <f t="shared" si="1"/>
        <v/>
      </c>
      <c r="E21" s="395" t="str">
        <f t="shared" si="2"/>
        <v/>
      </c>
      <c r="F21" s="396" t="str">
        <f t="shared" si="3"/>
        <v/>
      </c>
      <c r="G21" s="7"/>
      <c r="I21" s="26"/>
      <c r="J21" s="278"/>
      <c r="K21" s="610"/>
      <c r="L21" s="610"/>
      <c r="M21" s="286"/>
      <c r="N21" s="268"/>
    </row>
    <row r="22" spans="2:14" ht="17.100000000000001" customHeight="1" thickBot="1" x14ac:dyDescent="0.4">
      <c r="B22" s="6"/>
      <c r="C22" s="393" t="str">
        <f t="shared" si="0"/>
        <v/>
      </c>
      <c r="D22" s="394" t="str">
        <f t="shared" si="1"/>
        <v/>
      </c>
      <c r="E22" s="395" t="str">
        <f t="shared" si="2"/>
        <v/>
      </c>
      <c r="F22" s="396" t="str">
        <f t="shared" si="3"/>
        <v/>
      </c>
      <c r="G22" s="7"/>
      <c r="I22" s="212"/>
      <c r="J22" s="278"/>
      <c r="K22" s="610"/>
      <c r="L22" s="610"/>
      <c r="M22" s="286"/>
      <c r="N22" s="268"/>
    </row>
    <row r="23" spans="2:14" ht="17.100000000000001" customHeight="1" thickBot="1" x14ac:dyDescent="0.4">
      <c r="B23" s="6"/>
      <c r="C23" s="393"/>
      <c r="D23" s="394" t="str">
        <f>IF(F25&gt;400,"enthaltene USt","")</f>
        <v/>
      </c>
      <c r="E23" s="395"/>
      <c r="F23" s="397"/>
      <c r="G23" s="7"/>
      <c r="I23" s="27"/>
      <c r="J23" s="278"/>
      <c r="K23" s="610"/>
      <c r="L23" s="610"/>
      <c r="M23" s="286"/>
      <c r="N23" s="268"/>
    </row>
    <row r="24" spans="2:14" ht="17.100000000000001" customHeight="1" thickBot="1" x14ac:dyDescent="0.4">
      <c r="B24" s="6"/>
      <c r="C24" s="398"/>
      <c r="D24" s="394" t="str">
        <f>IF(F25&gt;400,"Nettobetrag","")</f>
        <v/>
      </c>
      <c r="E24" s="399"/>
      <c r="F24" s="400"/>
      <c r="G24" s="7"/>
      <c r="J24" s="279"/>
      <c r="K24" s="614"/>
      <c r="L24" s="614"/>
      <c r="M24" s="287"/>
      <c r="N24" s="268"/>
    </row>
    <row r="25" spans="2:14" ht="17.100000000000001" customHeight="1" thickBot="1" x14ac:dyDescent="0.4">
      <c r="B25" s="6"/>
      <c r="C25" s="611" t="s">
        <v>232</v>
      </c>
      <c r="D25" s="612"/>
      <c r="E25" s="230"/>
      <c r="F25" s="401">
        <f>SUM(F12:F24)</f>
        <v>328.6</v>
      </c>
      <c r="G25" s="7"/>
      <c r="N25" s="268"/>
    </row>
    <row r="26" spans="2:14" ht="17.100000000000001" customHeight="1" x14ac:dyDescent="0.3">
      <c r="B26" s="6"/>
      <c r="C26" s="613" t="s">
        <v>233</v>
      </c>
      <c r="D26" s="613"/>
      <c r="E26" s="613"/>
      <c r="F26" s="613"/>
      <c r="G26" s="7"/>
      <c r="J26" s="315" t="str">
        <f>IF(F25&gt;400,F25/6,"")</f>
        <v/>
      </c>
      <c r="N26" s="268"/>
    </row>
    <row r="27" spans="2:14" ht="18" x14ac:dyDescent="0.3">
      <c r="B27" s="6"/>
      <c r="C27" s="232">
        <f ca="1">RANDBETWEEN(10,30)</f>
        <v>25</v>
      </c>
      <c r="D27" s="231" t="str">
        <f ca="1">+CONCATENATE(" -  00",RANDBETWEEN(100,399))</f>
        <v xml:space="preserve"> -  00179</v>
      </c>
      <c r="E27" s="2"/>
      <c r="F27" s="2"/>
      <c r="G27" s="7"/>
      <c r="J27" s="318" t="str">
        <f>IF(F25&gt;400,F25-J26,"")</f>
        <v/>
      </c>
    </row>
    <row r="28" spans="2:14" ht="17.100000000000001" customHeight="1" x14ac:dyDescent="0.3">
      <c r="B28" s="6"/>
      <c r="C28" s="232"/>
      <c r="D28" s="231"/>
      <c r="E28" s="2"/>
      <c r="F28" s="2"/>
      <c r="G28" s="7"/>
    </row>
    <row r="29" spans="2:14" x14ac:dyDescent="0.3">
      <c r="B29" s="8"/>
      <c r="C29" s="13"/>
      <c r="D29" s="13"/>
      <c r="E29" s="13"/>
      <c r="F29" s="13"/>
      <c r="G29" s="9"/>
    </row>
  </sheetData>
  <sheetProtection algorithmName="SHA-512" hashValue="g7G//+CoP+JGb9WZXrMhCsZ1PV8GWbDjNslhV90+PRFRDcJWE2Nk6NPpYIDkHNpJ3CrofPZOK8OQN4fp3ayKSg==" saltValue="Uoh7OU4GDJucVo+xZLdTgg==" spinCount="100000" sheet="1" objects="1" scenarios="1" selectLockedCells="1"/>
  <mergeCells count="35">
    <mergeCell ref="C25:D25"/>
    <mergeCell ref="C26:F26"/>
    <mergeCell ref="J7:K7"/>
    <mergeCell ref="J8:K8"/>
    <mergeCell ref="L7:M7"/>
    <mergeCell ref="L8:M8"/>
    <mergeCell ref="K23:L23"/>
    <mergeCell ref="K24:L24"/>
    <mergeCell ref="K20:L20"/>
    <mergeCell ref="K21:L21"/>
    <mergeCell ref="K22:L22"/>
    <mergeCell ref="K17:L17"/>
    <mergeCell ref="K18:L18"/>
    <mergeCell ref="K19:L19"/>
    <mergeCell ref="K14:L14"/>
    <mergeCell ref="K15:L15"/>
    <mergeCell ref="K16:L16"/>
    <mergeCell ref="K13:L13"/>
    <mergeCell ref="C7:F7"/>
    <mergeCell ref="J9:K9"/>
    <mergeCell ref="L9:M9"/>
    <mergeCell ref="C8:F8"/>
    <mergeCell ref="C5:F5"/>
    <mergeCell ref="J5:K5"/>
    <mergeCell ref="L5:M5"/>
    <mergeCell ref="C6:F6"/>
    <mergeCell ref="J6:K6"/>
    <mergeCell ref="L6:M6"/>
    <mergeCell ref="C3:F4"/>
    <mergeCell ref="J1:M1"/>
    <mergeCell ref="O1:O2"/>
    <mergeCell ref="J3:K3"/>
    <mergeCell ref="L3:M3"/>
    <mergeCell ref="J4:K4"/>
    <mergeCell ref="L4:M4"/>
  </mergeCells>
  <hyperlinks>
    <hyperlink ref="O1" location="Belegverwaltung!Druckbereich" display="Zurück zur Belegverwaltung"/>
  </hyperlinks>
  <pageMargins left="0.70866141732283472" right="0.70866141732283472" top="0.78740157480314965" bottom="0.78740157480314965" header="0.31496062992125984" footer="0.31496062992125984"/>
  <pageSetup paperSize="9" orientation="portrait" horizontalDpi="300" verticalDpi="30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5">
    <pageSetUpPr fitToPage="1"/>
  </sheetPr>
  <dimension ref="B1:N42"/>
  <sheetViews>
    <sheetView showGridLines="0" showRowColHeaders="0" zoomScaleNormal="100" zoomScaleSheetLayoutView="89" workbookViewId="0">
      <selection activeCell="AA1" sqref="AA1"/>
    </sheetView>
  </sheetViews>
  <sheetFormatPr baseColWidth="10" defaultRowHeight="15" x14ac:dyDescent="0.3"/>
  <cols>
    <col min="1" max="1" width="9" style="1" customWidth="1"/>
    <col min="2" max="11" width="11.42578125" style="1"/>
    <col min="12" max="12" width="6.28515625" style="261" customWidth="1"/>
    <col min="13" max="13" width="42.7109375" style="268" customWidth="1"/>
    <col min="14" max="14" width="11.42578125" style="268" customWidth="1"/>
    <col min="15" max="16" width="11.42578125" style="1" customWidth="1"/>
    <col min="17" max="16384" width="11.42578125" style="1"/>
  </cols>
  <sheetData>
    <row r="1" spans="2:14" ht="30" customHeight="1" x14ac:dyDescent="0.35">
      <c r="L1" s="267"/>
    </row>
    <row r="2" spans="2:14" ht="47.25" customHeight="1" x14ac:dyDescent="0.3">
      <c r="B2" s="616" t="s">
        <v>361</v>
      </c>
      <c r="C2" s="616"/>
      <c r="D2" s="616"/>
      <c r="E2" s="616"/>
      <c r="F2" s="616"/>
      <c r="G2" s="616"/>
      <c r="H2" s="616"/>
      <c r="I2" s="616"/>
      <c r="J2" s="616"/>
      <c r="K2" s="616"/>
      <c r="M2" s="408" t="str">
        <f>intern_Datenblatt!B3</f>
        <v>Zurück zur Belegverwaltung</v>
      </c>
    </row>
    <row r="3" spans="2:14" ht="30" customHeight="1" x14ac:dyDescent="0.3">
      <c r="L3" s="270"/>
    </row>
    <row r="4" spans="2:14" s="375" customFormat="1" ht="18" customHeight="1" x14ac:dyDescent="0.35">
      <c r="B4" s="617" t="s">
        <v>262</v>
      </c>
      <c r="C4" s="617"/>
      <c r="D4" s="617" t="s">
        <v>263</v>
      </c>
      <c r="E4" s="617"/>
      <c r="F4" s="617" t="s">
        <v>264</v>
      </c>
      <c r="G4" s="617"/>
      <c r="H4" s="617" t="s">
        <v>265</v>
      </c>
      <c r="I4" s="617"/>
      <c r="J4" s="617" t="s">
        <v>266</v>
      </c>
      <c r="K4" s="617"/>
      <c r="L4" s="376"/>
      <c r="M4" s="339"/>
      <c r="N4" s="339"/>
    </row>
    <row r="5" spans="2:14" ht="12.75" customHeight="1" x14ac:dyDescent="0.3">
      <c r="L5" s="270"/>
    </row>
    <row r="6" spans="2:14" ht="12.75" customHeight="1" x14ac:dyDescent="0.3">
      <c r="L6" s="270"/>
    </row>
    <row r="7" spans="2:14" ht="12.75" customHeight="1" x14ac:dyDescent="0.3">
      <c r="L7" s="270"/>
    </row>
    <row r="8" spans="2:14" ht="12.75" customHeight="1" x14ac:dyDescent="0.3">
      <c r="L8" s="270"/>
    </row>
    <row r="9" spans="2:14" ht="12.75" customHeight="1" x14ac:dyDescent="0.3">
      <c r="L9" s="270"/>
    </row>
    <row r="10" spans="2:14" ht="12.75" customHeight="1" x14ac:dyDescent="0.3">
      <c r="L10" s="270"/>
    </row>
    <row r="11" spans="2:14" ht="12.75" customHeight="1" x14ac:dyDescent="0.3">
      <c r="L11" s="270"/>
    </row>
    <row r="12" spans="2:14" ht="30" customHeight="1" x14ac:dyDescent="0.3">
      <c r="L12" s="268"/>
    </row>
    <row r="13" spans="2:14" s="375" customFormat="1" ht="18" customHeight="1" x14ac:dyDescent="0.35">
      <c r="B13" s="617" t="s">
        <v>267</v>
      </c>
      <c r="C13" s="617"/>
      <c r="D13" s="617" t="s">
        <v>268</v>
      </c>
      <c r="E13" s="617"/>
      <c r="F13" s="617" t="s">
        <v>269</v>
      </c>
      <c r="G13" s="617"/>
      <c r="H13" s="617" t="s">
        <v>270</v>
      </c>
      <c r="I13" s="617"/>
      <c r="J13" s="617" t="s">
        <v>271</v>
      </c>
      <c r="K13" s="617"/>
      <c r="L13" s="376"/>
      <c r="M13" s="339"/>
      <c r="N13" s="339"/>
    </row>
    <row r="14" spans="2:14" ht="12.75" customHeight="1" x14ac:dyDescent="0.3">
      <c r="L14" s="268"/>
    </row>
    <row r="15" spans="2:14" ht="12.75" customHeight="1" x14ac:dyDescent="0.3">
      <c r="L15" s="268"/>
    </row>
    <row r="16" spans="2:14" ht="12.75" customHeight="1" x14ac:dyDescent="0.3">
      <c r="L16" s="281"/>
    </row>
    <row r="17" spans="2:14" ht="12.75" customHeight="1" x14ac:dyDescent="0.3">
      <c r="L17" s="317"/>
    </row>
    <row r="18" spans="2:14" ht="12.75" customHeight="1" x14ac:dyDescent="0.3">
      <c r="L18" s="317"/>
    </row>
    <row r="19" spans="2:14" ht="12.75" customHeight="1" x14ac:dyDescent="0.3">
      <c r="L19" s="317"/>
    </row>
    <row r="20" spans="2:14" ht="12.75" customHeight="1" x14ac:dyDescent="0.3">
      <c r="L20" s="268"/>
    </row>
    <row r="21" spans="2:14" ht="12.75" customHeight="1" x14ac:dyDescent="0.3">
      <c r="L21" s="268"/>
    </row>
    <row r="22" spans="2:14" ht="12.75" customHeight="1" x14ac:dyDescent="0.3">
      <c r="L22" s="268"/>
    </row>
    <row r="23" spans="2:14" ht="30" customHeight="1" x14ac:dyDescent="0.3">
      <c r="L23" s="268"/>
    </row>
    <row r="24" spans="2:14" s="375" customFormat="1" ht="18" customHeight="1" x14ac:dyDescent="0.35">
      <c r="B24" s="617" t="s">
        <v>275</v>
      </c>
      <c r="C24" s="617"/>
      <c r="D24" s="617" t="s">
        <v>276</v>
      </c>
      <c r="E24" s="617"/>
      <c r="F24" s="617" t="s">
        <v>274</v>
      </c>
      <c r="G24" s="617"/>
      <c r="H24" s="617" t="s">
        <v>273</v>
      </c>
      <c r="I24" s="617"/>
      <c r="J24" s="617" t="s">
        <v>272</v>
      </c>
      <c r="K24" s="617"/>
      <c r="L24" s="376"/>
      <c r="M24" s="339"/>
      <c r="N24" s="339"/>
    </row>
    <row r="25" spans="2:14" ht="12.75" customHeight="1" x14ac:dyDescent="0.3">
      <c r="L25" s="268"/>
    </row>
    <row r="26" spans="2:14" ht="12.75" customHeight="1" x14ac:dyDescent="0.3">
      <c r="L26" s="268"/>
    </row>
    <row r="27" spans="2:14" ht="12.75" customHeight="1" x14ac:dyDescent="0.3"/>
    <row r="28" spans="2:14" ht="12.75" customHeight="1" x14ac:dyDescent="0.3"/>
    <row r="29" spans="2:14" ht="12.75" customHeight="1" x14ac:dyDescent="0.3"/>
    <row r="32" spans="2:14" ht="30" customHeight="1" x14ac:dyDescent="0.3"/>
    <row r="33" spans="2:14" s="375" customFormat="1" ht="18" customHeight="1" x14ac:dyDescent="0.35">
      <c r="B33" s="617" t="s">
        <v>277</v>
      </c>
      <c r="C33" s="617"/>
      <c r="D33" s="617" t="s">
        <v>278</v>
      </c>
      <c r="E33" s="617"/>
      <c r="F33" s="617" t="s">
        <v>279</v>
      </c>
      <c r="G33" s="617"/>
      <c r="H33" s="617" t="s">
        <v>280</v>
      </c>
      <c r="I33" s="617"/>
      <c r="J33" s="617" t="s">
        <v>281</v>
      </c>
      <c r="K33" s="617"/>
      <c r="L33" s="376"/>
      <c r="M33" s="339"/>
      <c r="N33" s="339"/>
    </row>
    <row r="34" spans="2:14" ht="12.75" customHeight="1" x14ac:dyDescent="0.3"/>
    <row r="35" spans="2:14" ht="12.75" customHeight="1" x14ac:dyDescent="0.3"/>
    <row r="36" spans="2:14" ht="12.75" customHeight="1" x14ac:dyDescent="0.3"/>
    <row r="37" spans="2:14" ht="12.75" customHeight="1" x14ac:dyDescent="0.3"/>
    <row r="38" spans="2:14" ht="12.75" customHeight="1" x14ac:dyDescent="0.3"/>
    <row r="39" spans="2:14" ht="12.75" customHeight="1" x14ac:dyDescent="0.3"/>
    <row r="40" spans="2:14" ht="12.75" customHeight="1" x14ac:dyDescent="0.3"/>
    <row r="41" spans="2:14" ht="12.75" customHeight="1" x14ac:dyDescent="0.3"/>
    <row r="42" spans="2:14" ht="12.75" customHeight="1" x14ac:dyDescent="0.3"/>
  </sheetData>
  <sheetProtection algorithmName="SHA-512" hashValue="/uhc5AZ+i6d8y5eigUEGh9DpyFvIE12ixAbI3H2C7ZZkwZ5fmufcd37wSiSXrvVqMwXyNx3XHuF8d2Qyod2DFA==" saltValue="458i6npriny2xTbsSIa3jQ==" spinCount="100000" sheet="1" objects="1" scenarios="1" selectLockedCells="1"/>
  <mergeCells count="21">
    <mergeCell ref="B33:C33"/>
    <mergeCell ref="D33:E33"/>
    <mergeCell ref="F33:G33"/>
    <mergeCell ref="H33:I33"/>
    <mergeCell ref="J33:K33"/>
    <mergeCell ref="B13:C13"/>
    <mergeCell ref="D13:E13"/>
    <mergeCell ref="F13:G13"/>
    <mergeCell ref="H13:I13"/>
    <mergeCell ref="J13:K13"/>
    <mergeCell ref="B24:C24"/>
    <mergeCell ref="D24:E24"/>
    <mergeCell ref="F24:G24"/>
    <mergeCell ref="H24:I24"/>
    <mergeCell ref="J24:K24"/>
    <mergeCell ref="B2:K2"/>
    <mergeCell ref="B4:C4"/>
    <mergeCell ref="D4:E4"/>
    <mergeCell ref="F4:G4"/>
    <mergeCell ref="H4:I4"/>
    <mergeCell ref="J4:K4"/>
  </mergeCells>
  <hyperlinks>
    <hyperlink ref="M2" location="Belegverwaltung!Druckbereich" display="Zurück zur Belegverwaltung"/>
  </hyperlinks>
  <pageMargins left="0.70866141732283472" right="0.70866141732283472" top="0.78740157480314965" bottom="0.78740157480314965" header="0.31496062992125984" footer="0.31496062992125984"/>
  <pageSetup paperSize="9" scale="78" orientation="portrait" horizontalDpi="300" verticalDpi="30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512">
    <pageSetUpPr autoPageBreaks="0" fitToPage="1"/>
  </sheetPr>
  <dimension ref="B1:I35"/>
  <sheetViews>
    <sheetView showGridLines="0" showRowColHeaders="0" zoomScaleNormal="100" workbookViewId="0">
      <selection activeCell="AA1" sqref="AA1"/>
    </sheetView>
  </sheetViews>
  <sheetFormatPr baseColWidth="10" defaultRowHeight="16.5" x14ac:dyDescent="0.3"/>
  <cols>
    <col min="1" max="1" width="2.7109375" style="327" customWidth="1"/>
    <col min="2" max="2" width="3.7109375" style="327" customWidth="1"/>
    <col min="3" max="3" width="31.140625" style="327" customWidth="1"/>
    <col min="4" max="4" width="8.42578125" style="327" customWidth="1"/>
    <col min="5" max="5" width="60.140625" style="327" customWidth="1"/>
    <col min="6" max="6" width="5.7109375" style="327" customWidth="1"/>
    <col min="7" max="7" width="5.5703125" style="328" customWidth="1"/>
    <col min="8" max="8" width="34.42578125" style="328" bestFit="1" customWidth="1"/>
    <col min="9" max="9" width="15.140625" style="328" bestFit="1" customWidth="1"/>
    <col min="10" max="16384" width="11.42578125" style="327"/>
  </cols>
  <sheetData>
    <row r="1" spans="2:6" ht="30" customHeight="1" x14ac:dyDescent="0.3"/>
    <row r="2" spans="2:6" ht="22.5" customHeight="1" x14ac:dyDescent="0.35">
      <c r="B2" s="618" t="s">
        <v>303</v>
      </c>
      <c r="C2" s="618"/>
      <c r="D2" s="618"/>
      <c r="E2" s="618"/>
      <c r="F2" s="329"/>
    </row>
    <row r="3" spans="2:6" ht="18" customHeight="1" x14ac:dyDescent="0.3">
      <c r="B3" s="619"/>
      <c r="C3" s="619"/>
      <c r="D3" s="619"/>
      <c r="E3" s="619"/>
      <c r="F3" s="414"/>
    </row>
    <row r="4" spans="2:6" ht="18" customHeight="1" x14ac:dyDescent="0.3">
      <c r="B4" s="481" t="str">
        <f>intern_Datenblatt!B3</f>
        <v>Zurück zur Belegverwaltung</v>
      </c>
      <c r="C4" s="481"/>
      <c r="D4" s="481"/>
      <c r="E4" s="415"/>
      <c r="F4" s="413"/>
    </row>
    <row r="5" spans="2:6" ht="18" customHeight="1" x14ac:dyDescent="0.3">
      <c r="B5" s="481"/>
      <c r="C5" s="481"/>
      <c r="D5" s="481"/>
      <c r="E5" s="415"/>
      <c r="F5" s="413"/>
    </row>
    <row r="6" spans="2:6" ht="18" customHeight="1" x14ac:dyDescent="0.3">
      <c r="B6" s="412"/>
      <c r="C6" s="450"/>
      <c r="D6" s="450"/>
      <c r="E6" s="415"/>
      <c r="F6" s="413"/>
    </row>
    <row r="7" spans="2:6" ht="18" customHeight="1" x14ac:dyDescent="0.3">
      <c r="B7" s="623" t="s">
        <v>306</v>
      </c>
      <c r="C7" s="623"/>
      <c r="D7" s="623"/>
      <c r="E7" s="623"/>
      <c r="F7" s="413"/>
    </row>
    <row r="8" spans="2:6" ht="27.75" customHeight="1" x14ac:dyDescent="0.3">
      <c r="B8" s="416"/>
      <c r="C8" s="416"/>
      <c r="D8" s="416"/>
      <c r="E8" s="415"/>
      <c r="F8" s="413"/>
    </row>
    <row r="9" spans="2:6" ht="18" customHeight="1" x14ac:dyDescent="0.3">
      <c r="B9" s="481" t="str">
        <f>intern_Datenblatt!B4</f>
        <v>Beleg kopieren</v>
      </c>
      <c r="C9" s="481"/>
      <c r="D9" s="481"/>
      <c r="E9" s="415"/>
      <c r="F9" s="413"/>
    </row>
    <row r="10" spans="2:6" ht="18" customHeight="1" x14ac:dyDescent="0.3">
      <c r="B10" s="481"/>
      <c r="C10" s="481"/>
      <c r="D10" s="481"/>
      <c r="E10" s="415"/>
      <c r="F10" s="413"/>
    </row>
    <row r="11" spans="2:6" ht="18" customHeight="1" x14ac:dyDescent="0.3">
      <c r="B11" s="416"/>
      <c r="C11" s="416"/>
      <c r="D11" s="416"/>
      <c r="E11" s="415"/>
      <c r="F11" s="413"/>
    </row>
    <row r="12" spans="2:6" ht="18" customHeight="1" x14ac:dyDescent="0.3">
      <c r="B12" s="416" t="s">
        <v>307</v>
      </c>
      <c r="C12" s="416"/>
      <c r="D12" s="416"/>
      <c r="E12" s="415"/>
      <c r="F12" s="413"/>
    </row>
    <row r="13" spans="2:6" ht="18" customHeight="1" x14ac:dyDescent="0.3">
      <c r="B13" s="417" t="s">
        <v>309</v>
      </c>
      <c r="C13" s="417"/>
      <c r="D13" s="417"/>
      <c r="E13" s="415"/>
      <c r="F13" s="413"/>
    </row>
    <row r="14" spans="2:6" ht="18" customHeight="1" x14ac:dyDescent="0.3">
      <c r="B14" s="417" t="s">
        <v>310</v>
      </c>
      <c r="C14" s="417"/>
      <c r="D14" s="417"/>
      <c r="E14" s="415"/>
      <c r="F14" s="413"/>
    </row>
    <row r="15" spans="2:6" ht="18" customHeight="1" x14ac:dyDescent="0.3">
      <c r="B15" s="417" t="s">
        <v>314</v>
      </c>
      <c r="C15" s="417"/>
      <c r="D15" s="417"/>
      <c r="E15" s="415"/>
      <c r="F15" s="413"/>
    </row>
    <row r="16" spans="2:6" ht="18" customHeight="1" x14ac:dyDescent="0.3">
      <c r="B16" s="417" t="s">
        <v>315</v>
      </c>
      <c r="C16" s="417"/>
      <c r="D16" s="417"/>
      <c r="E16" s="415"/>
      <c r="F16" s="413"/>
    </row>
    <row r="17" spans="2:9" ht="18" customHeight="1" x14ac:dyDescent="0.3">
      <c r="B17" s="417"/>
      <c r="C17" s="417"/>
      <c r="D17" s="417"/>
      <c r="E17" s="415"/>
      <c r="F17" s="413"/>
    </row>
    <row r="18" spans="2:9" ht="18" customHeight="1" x14ac:dyDescent="0.3">
      <c r="B18" s="416" t="s">
        <v>311</v>
      </c>
      <c r="C18" s="416"/>
      <c r="D18" s="416"/>
      <c r="E18" s="415"/>
      <c r="F18" s="413"/>
    </row>
    <row r="19" spans="2:9" ht="18" customHeight="1" x14ac:dyDescent="0.3">
      <c r="B19" s="417" t="s">
        <v>312</v>
      </c>
      <c r="C19" s="417"/>
      <c r="D19" s="417"/>
      <c r="E19" s="415"/>
      <c r="F19" s="413"/>
    </row>
    <row r="20" spans="2:9" ht="18" customHeight="1" x14ac:dyDescent="0.3">
      <c r="B20" s="417" t="s">
        <v>384</v>
      </c>
      <c r="C20" s="417"/>
      <c r="D20" s="417"/>
      <c r="E20" s="415"/>
      <c r="F20" s="413"/>
    </row>
    <row r="21" spans="2:9" ht="18" customHeight="1" x14ac:dyDescent="0.3">
      <c r="B21" s="417" t="s">
        <v>385</v>
      </c>
      <c r="C21" s="417"/>
      <c r="D21" s="417"/>
      <c r="E21" s="415"/>
      <c r="F21" s="413"/>
    </row>
    <row r="22" spans="2:9" ht="18" customHeight="1" x14ac:dyDescent="0.3">
      <c r="B22" s="417" t="s">
        <v>386</v>
      </c>
      <c r="C22" s="417"/>
      <c r="D22" s="417"/>
      <c r="E22" s="415"/>
      <c r="F22" s="413"/>
    </row>
    <row r="23" spans="2:9" ht="18" customHeight="1" x14ac:dyDescent="0.3">
      <c r="B23" s="417" t="s">
        <v>387</v>
      </c>
      <c r="C23" s="417"/>
      <c r="D23" s="417"/>
      <c r="E23" s="415"/>
      <c r="F23" s="413"/>
    </row>
    <row r="24" spans="2:9" ht="18" customHeight="1" x14ac:dyDescent="0.3">
      <c r="B24" s="417" t="s">
        <v>313</v>
      </c>
      <c r="C24" s="417"/>
      <c r="D24" s="417"/>
      <c r="E24" s="415"/>
      <c r="F24" s="413"/>
    </row>
    <row r="25" spans="2:9" s="335" customFormat="1" ht="15" customHeight="1" x14ac:dyDescent="0.3">
      <c r="B25" s="624" t="s">
        <v>308</v>
      </c>
      <c r="C25" s="624"/>
      <c r="D25" s="624"/>
      <c r="E25" s="624"/>
      <c r="G25" s="336"/>
      <c r="H25" s="334"/>
      <c r="I25" s="336"/>
    </row>
    <row r="26" spans="2:9" x14ac:dyDescent="0.3">
      <c r="B26" s="624"/>
      <c r="C26" s="624"/>
      <c r="D26" s="624"/>
      <c r="E26" s="624"/>
    </row>
    <row r="27" spans="2:9" x14ac:dyDescent="0.3">
      <c r="B27" s="624"/>
      <c r="C27" s="624"/>
      <c r="D27" s="624"/>
      <c r="E27" s="624"/>
    </row>
    <row r="28" spans="2:9" x14ac:dyDescent="0.3">
      <c r="B28" s="624"/>
      <c r="C28" s="624"/>
      <c r="D28" s="624"/>
      <c r="E28" s="624"/>
    </row>
    <row r="30" spans="2:9" ht="18" customHeight="1" x14ac:dyDescent="0.3">
      <c r="B30" s="621"/>
      <c r="C30" s="622" t="s">
        <v>383</v>
      </c>
      <c r="D30" s="481"/>
    </row>
    <row r="31" spans="2:9" ht="18" customHeight="1" x14ac:dyDescent="0.3">
      <c r="B31" s="621"/>
      <c r="C31" s="622"/>
      <c r="D31" s="481"/>
    </row>
    <row r="33" spans="2:5" ht="18" customHeight="1" x14ac:dyDescent="0.3">
      <c r="B33" s="416"/>
      <c r="C33" s="416" t="s">
        <v>390</v>
      </c>
    </row>
    <row r="34" spans="2:5" x14ac:dyDescent="0.3">
      <c r="B34" s="620" t="s">
        <v>388</v>
      </c>
      <c r="C34" s="620"/>
      <c r="D34" s="620"/>
      <c r="E34" s="620"/>
    </row>
    <row r="35" spans="2:5" x14ac:dyDescent="0.3">
      <c r="B35" s="620"/>
      <c r="C35" s="620"/>
      <c r="D35" s="620"/>
      <c r="E35" s="620"/>
    </row>
  </sheetData>
  <sheetProtection algorithmName="SHA-512" hashValue="GNoKaxDpGY4fSHGpDP2coOmee5qNfKJCjTlX4I6AdUxQFOvMCY9tJhU8LCpeLkYelmFlITAbEqwViegkMX1RTA==" saltValue="tw5UOGrQHBlI6iydW/2h6w==" spinCount="100000" sheet="1" objects="1" scenarios="1" selectLockedCells="1"/>
  <mergeCells count="10">
    <mergeCell ref="B2:E2"/>
    <mergeCell ref="B3:E3"/>
    <mergeCell ref="B4:D5"/>
    <mergeCell ref="B9:D10"/>
    <mergeCell ref="B34:E35"/>
    <mergeCell ref="B30:B31"/>
    <mergeCell ref="C30:C31"/>
    <mergeCell ref="B7:E7"/>
    <mergeCell ref="B25:E28"/>
    <mergeCell ref="D30:D31"/>
  </mergeCells>
  <pageMargins left="0.70866141732283472" right="0.70866141732283472" top="0.78740157480314965" bottom="0.78740157480314965" header="0.31496062992125984" footer="0.31496062992125984"/>
  <pageSetup paperSize="9" orientation="portrait" horizontalDpi="300" verticalDpi="300" r:id="rId1"/>
  <colBreaks count="1" manualBreakCount="1">
    <brk id="5" max="1048575" man="1"/>
  </colBreaks>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511">
    <pageSetUpPr autoPageBreaks="0"/>
  </sheetPr>
  <dimension ref="A1:I31"/>
  <sheetViews>
    <sheetView showGridLines="0" showRowColHeaders="0" zoomScaleNormal="100" workbookViewId="0">
      <selection activeCell="AA1" sqref="AA1"/>
    </sheetView>
  </sheetViews>
  <sheetFormatPr baseColWidth="10" defaultRowHeight="16.5" x14ac:dyDescent="0.3"/>
  <cols>
    <col min="1" max="1" width="2.7109375" style="327" customWidth="1"/>
    <col min="2" max="2" width="25.85546875" style="327" customWidth="1"/>
    <col min="3" max="3" width="4.85546875" style="327" customWidth="1"/>
    <col min="4" max="4" width="27" style="327" customWidth="1"/>
    <col min="5" max="5" width="49.28515625" style="327" customWidth="1"/>
    <col min="6" max="6" width="5.7109375" style="327" customWidth="1"/>
    <col min="7" max="7" width="5.5703125" style="328" customWidth="1"/>
    <col min="8" max="8" width="34.42578125" style="328" bestFit="1" customWidth="1"/>
    <col min="9" max="9" width="15.140625" style="328" bestFit="1" customWidth="1"/>
    <col min="10" max="16384" width="11.42578125" style="327"/>
  </cols>
  <sheetData>
    <row r="1" spans="1:9" ht="30" customHeight="1" x14ac:dyDescent="0.3"/>
    <row r="2" spans="1:9" ht="22.5" customHeight="1" x14ac:dyDescent="0.35">
      <c r="B2" s="618" t="s">
        <v>181</v>
      </c>
      <c r="C2" s="618"/>
      <c r="D2" s="618"/>
      <c r="E2" s="618"/>
      <c r="F2" s="329"/>
      <c r="H2" s="451" t="str">
        <f>intern_Datenblatt!B3</f>
        <v>Zurück zur Belegverwaltung</v>
      </c>
    </row>
    <row r="3" spans="1:9" ht="9" customHeight="1" x14ac:dyDescent="0.3">
      <c r="B3" s="627"/>
      <c r="C3" s="627"/>
      <c r="D3" s="627"/>
      <c r="E3" s="627"/>
      <c r="F3" s="330"/>
    </row>
    <row r="4" spans="1:9" ht="18" customHeight="1" x14ac:dyDescent="0.3">
      <c r="B4" s="625" t="s">
        <v>182</v>
      </c>
      <c r="C4" s="625"/>
      <c r="D4" s="625"/>
      <c r="E4" s="625"/>
      <c r="F4" s="331"/>
    </row>
    <row r="5" spans="1:9" ht="9" customHeight="1" x14ac:dyDescent="0.3">
      <c r="B5" s="625"/>
      <c r="C5" s="625"/>
      <c r="D5" s="625"/>
      <c r="E5" s="625"/>
      <c r="F5" s="331"/>
    </row>
    <row r="6" spans="1:9" ht="18" customHeight="1" x14ac:dyDescent="0.3">
      <c r="A6" s="452"/>
      <c r="B6" s="628" t="s">
        <v>394</v>
      </c>
      <c r="C6" s="628"/>
      <c r="D6" s="452"/>
      <c r="E6" s="452"/>
      <c r="F6" s="447"/>
    </row>
    <row r="7" spans="1:9" x14ac:dyDescent="0.3">
      <c r="B7" s="625"/>
      <c r="C7" s="625"/>
      <c r="D7" s="625"/>
      <c r="E7" s="625"/>
      <c r="F7" s="331"/>
    </row>
    <row r="8" spans="1:9" ht="22.5" customHeight="1" x14ac:dyDescent="0.35">
      <c r="B8" s="618" t="s">
        <v>183</v>
      </c>
      <c r="C8" s="618"/>
      <c r="D8" s="618"/>
      <c r="E8" s="618"/>
      <c r="F8" s="329"/>
    </row>
    <row r="9" spans="1:9" ht="9" customHeight="1" x14ac:dyDescent="0.3">
      <c r="B9" s="625"/>
      <c r="C9" s="625"/>
      <c r="D9" s="625"/>
      <c r="E9" s="625"/>
      <c r="F9" s="331"/>
    </row>
    <row r="10" spans="1:9" s="335" customFormat="1" ht="15" customHeight="1" x14ac:dyDescent="0.3">
      <c r="B10" s="332" t="s">
        <v>186</v>
      </c>
      <c r="C10" s="625" t="s">
        <v>187</v>
      </c>
      <c r="D10" s="625"/>
      <c r="E10" s="625"/>
      <c r="F10" s="331"/>
      <c r="G10" s="336"/>
      <c r="H10" s="336"/>
      <c r="I10" s="336"/>
    </row>
    <row r="11" spans="1:9" s="335" customFormat="1" ht="15" customHeight="1" x14ac:dyDescent="0.3">
      <c r="B11" s="332"/>
      <c r="C11" s="625" t="s">
        <v>317</v>
      </c>
      <c r="D11" s="625"/>
      <c r="E11" s="625"/>
      <c r="F11" s="418"/>
      <c r="G11" s="336"/>
      <c r="H11" s="336"/>
      <c r="I11" s="336"/>
    </row>
    <row r="12" spans="1:9" s="335" customFormat="1" ht="15" customHeight="1" x14ac:dyDescent="0.3">
      <c r="B12" s="332" t="s">
        <v>188</v>
      </c>
      <c r="C12" s="625" t="s">
        <v>189</v>
      </c>
      <c r="D12" s="625"/>
      <c r="E12" s="625"/>
      <c r="F12" s="331"/>
      <c r="G12" s="336"/>
      <c r="H12" s="336"/>
      <c r="I12" s="336"/>
    </row>
    <row r="13" spans="1:9" s="335" customFormat="1" ht="9" customHeight="1" x14ac:dyDescent="0.3">
      <c r="B13" s="625"/>
      <c r="C13" s="625"/>
      <c r="D13" s="625"/>
      <c r="E13" s="625"/>
      <c r="F13" s="331"/>
      <c r="G13" s="336"/>
      <c r="H13" s="336"/>
      <c r="I13" s="336"/>
    </row>
    <row r="14" spans="1:9" s="335" customFormat="1" ht="15" x14ac:dyDescent="0.3">
      <c r="B14" s="331" t="s">
        <v>185</v>
      </c>
      <c r="C14" s="625" t="s">
        <v>331</v>
      </c>
      <c r="D14" s="625"/>
      <c r="E14" s="335" t="s">
        <v>332</v>
      </c>
      <c r="G14" s="336"/>
      <c r="H14" s="336"/>
      <c r="I14" s="336"/>
    </row>
    <row r="15" spans="1:9" s="335" customFormat="1" ht="15" x14ac:dyDescent="0.3">
      <c r="B15" s="418"/>
      <c r="C15" s="625" t="s">
        <v>323</v>
      </c>
      <c r="D15" s="625"/>
      <c r="E15" s="335" t="s">
        <v>322</v>
      </c>
      <c r="G15" s="336"/>
      <c r="H15" s="336"/>
      <c r="I15" s="336"/>
    </row>
    <row r="16" spans="1:9" s="335" customFormat="1" ht="15" x14ac:dyDescent="0.3">
      <c r="B16" s="418"/>
      <c r="C16" s="625" t="s">
        <v>326</v>
      </c>
      <c r="D16" s="625"/>
      <c r="E16" s="335" t="s">
        <v>325</v>
      </c>
      <c r="G16" s="336"/>
      <c r="H16" s="336"/>
      <c r="I16" s="336"/>
    </row>
    <row r="17" spans="1:9" s="335" customFormat="1" ht="15" x14ac:dyDescent="0.3">
      <c r="B17" s="418"/>
      <c r="C17" s="625" t="s">
        <v>327</v>
      </c>
      <c r="D17" s="625"/>
      <c r="E17" s="335" t="s">
        <v>328</v>
      </c>
      <c r="G17" s="336"/>
      <c r="H17" s="336"/>
      <c r="I17" s="336"/>
    </row>
    <row r="18" spans="1:9" s="335" customFormat="1" ht="15" x14ac:dyDescent="0.3">
      <c r="B18" s="418"/>
      <c r="C18" s="625" t="s">
        <v>321</v>
      </c>
      <c r="D18" s="625"/>
      <c r="E18" s="335" t="s">
        <v>275</v>
      </c>
      <c r="G18" s="336"/>
      <c r="H18" s="336"/>
      <c r="I18" s="336"/>
    </row>
    <row r="19" spans="1:9" s="335" customFormat="1" ht="15" x14ac:dyDescent="0.3">
      <c r="B19" s="418"/>
      <c r="C19" s="625" t="s">
        <v>318</v>
      </c>
      <c r="D19" s="625"/>
      <c r="E19" s="335" t="s">
        <v>276</v>
      </c>
      <c r="G19" s="336"/>
      <c r="H19" s="336"/>
      <c r="I19" s="336"/>
    </row>
    <row r="20" spans="1:9" s="419" customFormat="1" ht="15" x14ac:dyDescent="0.3">
      <c r="A20" s="335"/>
      <c r="B20" s="418"/>
      <c r="C20" s="625" t="s">
        <v>320</v>
      </c>
      <c r="D20" s="625"/>
      <c r="E20" s="335" t="s">
        <v>319</v>
      </c>
      <c r="F20" s="335"/>
      <c r="G20" s="421"/>
      <c r="H20" s="421"/>
      <c r="I20" s="421"/>
    </row>
    <row r="21" spans="1:9" s="419" customFormat="1" ht="15" x14ac:dyDescent="0.3">
      <c r="B21" s="420"/>
      <c r="C21" s="625" t="s">
        <v>475</v>
      </c>
      <c r="D21" s="625"/>
      <c r="E21" s="335" t="s">
        <v>476</v>
      </c>
      <c r="G21" s="421"/>
      <c r="H21" s="421"/>
      <c r="I21" s="421"/>
    </row>
    <row r="22" spans="1:9" s="335" customFormat="1" ht="15" x14ac:dyDescent="0.3">
      <c r="A22" s="419"/>
      <c r="B22" s="420"/>
      <c r="C22" s="625" t="s">
        <v>324</v>
      </c>
      <c r="D22" s="625"/>
      <c r="E22" s="335" t="s">
        <v>271</v>
      </c>
      <c r="F22" s="419"/>
      <c r="G22" s="336"/>
      <c r="H22" s="336"/>
      <c r="I22" s="336"/>
    </row>
    <row r="23" spans="1:9" s="335" customFormat="1" ht="15" x14ac:dyDescent="0.3">
      <c r="B23" s="331"/>
      <c r="C23" s="625" t="s">
        <v>330</v>
      </c>
      <c r="D23" s="625"/>
      <c r="E23" s="335" t="s">
        <v>329</v>
      </c>
      <c r="G23" s="336"/>
      <c r="H23" s="336"/>
      <c r="I23" s="336"/>
    </row>
    <row r="24" spans="1:9" s="335" customFormat="1" ht="9" customHeight="1" x14ac:dyDescent="0.3">
      <c r="B24" s="331"/>
      <c r="C24" s="426"/>
      <c r="D24" s="426"/>
      <c r="G24" s="336"/>
      <c r="H24" s="336"/>
      <c r="I24" s="336"/>
    </row>
    <row r="25" spans="1:9" s="335" customFormat="1" ht="15" customHeight="1" x14ac:dyDescent="0.3">
      <c r="B25" s="331" t="s">
        <v>190</v>
      </c>
      <c r="C25" s="331" t="s">
        <v>425</v>
      </c>
      <c r="D25" s="333">
        <v>43983</v>
      </c>
      <c r="E25" s="337"/>
      <c r="G25" s="336"/>
      <c r="H25" s="334"/>
      <c r="I25" s="336"/>
    </row>
    <row r="26" spans="1:9" s="335" customFormat="1" ht="30" customHeight="1" x14ac:dyDescent="0.3">
      <c r="B26" s="430"/>
      <c r="C26" s="626" t="s">
        <v>380</v>
      </c>
      <c r="D26" s="626"/>
      <c r="E26" s="626"/>
      <c r="F26" s="331"/>
      <c r="G26" s="336"/>
      <c r="H26" s="334"/>
      <c r="I26" s="336"/>
    </row>
    <row r="27" spans="1:9" s="335" customFormat="1" ht="9" customHeight="1" x14ac:dyDescent="0.3">
      <c r="F27" s="430"/>
      <c r="G27" s="336"/>
      <c r="H27" s="334"/>
      <c r="I27" s="336"/>
    </row>
    <row r="28" spans="1:9" s="335" customFormat="1" ht="15" x14ac:dyDescent="0.3">
      <c r="B28" s="625" t="s">
        <v>395</v>
      </c>
      <c r="C28" s="625"/>
      <c r="D28" s="625"/>
      <c r="E28" s="625"/>
      <c r="F28" s="331"/>
      <c r="G28" s="336"/>
      <c r="H28" s="336"/>
      <c r="I28" s="336"/>
    </row>
    <row r="29" spans="1:9" s="335" customFormat="1" ht="15" x14ac:dyDescent="0.3">
      <c r="F29" s="331"/>
      <c r="G29" s="336"/>
      <c r="H29" s="336"/>
      <c r="I29" s="336"/>
    </row>
    <row r="30" spans="1:9" x14ac:dyDescent="0.3">
      <c r="A30" s="335"/>
      <c r="B30" s="335"/>
      <c r="C30" s="335"/>
      <c r="D30" s="335"/>
      <c r="E30" s="335"/>
      <c r="F30" s="335"/>
      <c r="G30" s="336"/>
    </row>
    <row r="31" spans="1:9" x14ac:dyDescent="0.3">
      <c r="F31" s="335"/>
    </row>
  </sheetData>
  <sheetProtection algorithmName="SHA-512" hashValue="lPs5nLhIRuys3c2G4EDjjRHLw4rArQ9KliIFppEXhjlFK8rXRpPcot32DgbHwMFmAJf1EGht2oHeBt2HkRAV3Q==" saltValue="eh2ZpHf9O3Z/VJlrNwV12w==" spinCount="100000" sheet="1" objects="1" scenarios="1" selectLockedCells="1"/>
  <mergeCells count="24">
    <mergeCell ref="B2:E2"/>
    <mergeCell ref="B3:E3"/>
    <mergeCell ref="B4:E4"/>
    <mergeCell ref="B5:E5"/>
    <mergeCell ref="C14:D14"/>
    <mergeCell ref="B7:E7"/>
    <mergeCell ref="B9:E9"/>
    <mergeCell ref="B13:E13"/>
    <mergeCell ref="B8:E8"/>
    <mergeCell ref="C10:E10"/>
    <mergeCell ref="C11:E11"/>
    <mergeCell ref="C12:E12"/>
    <mergeCell ref="B6:C6"/>
    <mergeCell ref="C18:D18"/>
    <mergeCell ref="C15:D15"/>
    <mergeCell ref="B28:E28"/>
    <mergeCell ref="C17:D17"/>
    <mergeCell ref="C23:D23"/>
    <mergeCell ref="C20:D20"/>
    <mergeCell ref="C22:D22"/>
    <mergeCell ref="C16:D16"/>
    <mergeCell ref="C19:D19"/>
    <mergeCell ref="C26:E26"/>
    <mergeCell ref="C21:D21"/>
  </mergeCells>
  <hyperlinks>
    <hyperlink ref="H2" location="Belegverwaltung!Druckbereich" display="Zurück zur Belegverwaltung"/>
    <hyperlink ref="H2" location="Belegverwaltung!A1" display="Zurück zur Belegverwaltung"/>
  </hyperlinks>
  <pageMargins left="0.70866141732283472" right="0.70866141732283472" top="0.78740157480314965" bottom="0.78740157480314965" header="0.31496062992125984" footer="0.31496062992125984"/>
  <pageSetup paperSize="9" scale="75" orientation="portrait" horizontalDpi="300" verticalDpi="300" r:id="rId1"/>
  <colBreaks count="1" manualBreakCount="1">
    <brk id="5"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1"/>
  <dimension ref="A1:F85"/>
  <sheetViews>
    <sheetView showGridLines="0" showRowColHeaders="0" topLeftCell="A42" zoomScaleNormal="100" workbookViewId="0">
      <selection activeCell="A69" sqref="A69"/>
    </sheetView>
  </sheetViews>
  <sheetFormatPr baseColWidth="10" defaultRowHeight="12.75" x14ac:dyDescent="0.2"/>
  <cols>
    <col min="1" max="1" width="40.140625" style="172" bestFit="1" customWidth="1"/>
    <col min="2" max="2" width="30.42578125" bestFit="1" customWidth="1"/>
    <col min="3" max="3" width="12.7109375" bestFit="1" customWidth="1"/>
    <col min="4" max="4" width="2.28515625" customWidth="1"/>
    <col min="5" max="5" width="45.140625" bestFit="1" customWidth="1"/>
  </cols>
  <sheetData>
    <row r="1" spans="1:6" ht="18" x14ac:dyDescent="0.35">
      <c r="A1" s="172" t="s">
        <v>51</v>
      </c>
      <c r="B1" s="404" t="s">
        <v>133</v>
      </c>
      <c r="E1" s="11" t="s">
        <v>55</v>
      </c>
      <c r="F1" s="37" t="s">
        <v>53</v>
      </c>
    </row>
    <row r="2" spans="1:6" ht="15" x14ac:dyDescent="0.25">
      <c r="E2" s="11" t="s">
        <v>54</v>
      </c>
      <c r="F2" s="37" t="s">
        <v>56</v>
      </c>
    </row>
    <row r="3" spans="1:6" ht="20.100000000000001" customHeight="1" x14ac:dyDescent="0.3">
      <c r="A3" s="171"/>
      <c r="B3" s="405" t="s">
        <v>100</v>
      </c>
    </row>
    <row r="4" spans="1:6" ht="20.100000000000001" customHeight="1" x14ac:dyDescent="0.3">
      <c r="A4" s="171"/>
      <c r="B4" s="405" t="s">
        <v>304</v>
      </c>
    </row>
    <row r="5" spans="1:6" x14ac:dyDescent="0.2">
      <c r="A5" s="195" t="s">
        <v>15</v>
      </c>
      <c r="B5" s="11" t="s">
        <v>389</v>
      </c>
    </row>
    <row r="6" spans="1:6" ht="12.6" customHeight="1" x14ac:dyDescent="0.2">
      <c r="A6" s="196" t="s">
        <v>7</v>
      </c>
      <c r="B6" s="107"/>
      <c r="C6" s="107" t="s">
        <v>381</v>
      </c>
    </row>
    <row r="7" spans="1:6" x14ac:dyDescent="0.2">
      <c r="A7" s="196" t="s">
        <v>8</v>
      </c>
      <c r="B7" s="433"/>
      <c r="C7" t="s">
        <v>382</v>
      </c>
      <c r="D7" s="11"/>
      <c r="E7" s="39"/>
    </row>
    <row r="8" spans="1:6" x14ac:dyDescent="0.2">
      <c r="A8" s="196" t="s">
        <v>57</v>
      </c>
      <c r="D8" s="11"/>
      <c r="E8" s="39"/>
    </row>
    <row r="9" spans="1:6" x14ac:dyDescent="0.2">
      <c r="A9" s="196" t="s">
        <v>199</v>
      </c>
      <c r="D9" s="11"/>
      <c r="E9" s="39"/>
    </row>
    <row r="10" spans="1:6" x14ac:dyDescent="0.2">
      <c r="A10" s="196" t="s">
        <v>99</v>
      </c>
      <c r="D10" s="11"/>
      <c r="E10" s="39"/>
    </row>
    <row r="11" spans="1:6" x14ac:dyDescent="0.2">
      <c r="A11" s="196" t="s">
        <v>24</v>
      </c>
    </row>
    <row r="12" spans="1:6" x14ac:dyDescent="0.2">
      <c r="A12" s="197" t="s">
        <v>52</v>
      </c>
      <c r="D12" s="11"/>
      <c r="E12" s="14"/>
    </row>
    <row r="13" spans="1:6" x14ac:dyDescent="0.2">
      <c r="A13" s="197" t="s">
        <v>65</v>
      </c>
      <c r="D13" s="11"/>
      <c r="E13" s="14"/>
    </row>
    <row r="14" spans="1:6" x14ac:dyDescent="0.2">
      <c r="A14" s="197" t="s">
        <v>67</v>
      </c>
      <c r="D14" s="11"/>
      <c r="E14" s="14"/>
    </row>
    <row r="15" spans="1:6" x14ac:dyDescent="0.2">
      <c r="A15" s="197" t="s">
        <v>12</v>
      </c>
      <c r="D15" s="11"/>
      <c r="E15" s="14"/>
    </row>
    <row r="16" spans="1:6" x14ac:dyDescent="0.2">
      <c r="A16" s="198" t="s">
        <v>2</v>
      </c>
      <c r="D16" s="11"/>
      <c r="E16" s="14"/>
    </row>
    <row r="17" spans="1:5" x14ac:dyDescent="0.2">
      <c r="A17" s="196" t="s">
        <v>5</v>
      </c>
      <c r="D17" s="11"/>
      <c r="E17" s="14"/>
    </row>
    <row r="18" spans="1:5" x14ac:dyDescent="0.2">
      <c r="A18" s="196" t="s">
        <v>17</v>
      </c>
    </row>
    <row r="19" spans="1:5" x14ac:dyDescent="0.2">
      <c r="A19" s="196" t="s">
        <v>123</v>
      </c>
    </row>
    <row r="20" spans="1:5" x14ac:dyDescent="0.2">
      <c r="A20" s="196" t="s">
        <v>11</v>
      </c>
    </row>
    <row r="21" spans="1:5" x14ac:dyDescent="0.2">
      <c r="A21" s="196" t="s">
        <v>131</v>
      </c>
    </row>
    <row r="22" spans="1:5" x14ac:dyDescent="0.2">
      <c r="A22" s="196" t="s">
        <v>130</v>
      </c>
    </row>
    <row r="23" spans="1:5" x14ac:dyDescent="0.2">
      <c r="A23" s="196" t="s">
        <v>26</v>
      </c>
    </row>
    <row r="24" spans="1:5" x14ac:dyDescent="0.2">
      <c r="A24" s="171" t="s">
        <v>82</v>
      </c>
    </row>
    <row r="25" spans="1:5" x14ac:dyDescent="0.2">
      <c r="A25" s="195" t="s">
        <v>128</v>
      </c>
    </row>
    <row r="26" spans="1:5" x14ac:dyDescent="0.2">
      <c r="A26" s="196" t="s">
        <v>235</v>
      </c>
    </row>
    <row r="27" spans="1:5" x14ac:dyDescent="0.2">
      <c r="A27" s="196" t="s">
        <v>170</v>
      </c>
    </row>
    <row r="28" spans="1:5" x14ac:dyDescent="0.2">
      <c r="A28" s="196" t="s">
        <v>261</v>
      </c>
    </row>
    <row r="29" spans="1:5" x14ac:dyDescent="0.2">
      <c r="A29" s="196" t="s">
        <v>1</v>
      </c>
    </row>
    <row r="30" spans="1:5" x14ac:dyDescent="0.2">
      <c r="A30" s="196" t="s">
        <v>18</v>
      </c>
    </row>
    <row r="31" spans="1:5" x14ac:dyDescent="0.2">
      <c r="A31" s="196" t="s">
        <v>59</v>
      </c>
    </row>
    <row r="32" spans="1:5" x14ac:dyDescent="0.2">
      <c r="A32" s="195" t="s">
        <v>66</v>
      </c>
    </row>
    <row r="33" spans="1:2" x14ac:dyDescent="0.2">
      <c r="A33" s="196" t="s">
        <v>16</v>
      </c>
      <c r="B33" s="10"/>
    </row>
    <row r="34" spans="1:2" ht="13.5" customHeight="1" x14ac:dyDescent="0.2">
      <c r="A34" s="196" t="s">
        <v>95</v>
      </c>
      <c r="B34" s="10"/>
    </row>
    <row r="35" spans="1:2" ht="13.5" customHeight="1" x14ac:dyDescent="0.2">
      <c r="A35" s="196" t="s">
        <v>9</v>
      </c>
      <c r="B35" s="10"/>
    </row>
    <row r="36" spans="1:2" x14ac:dyDescent="0.2">
      <c r="A36" s="196" t="s">
        <v>98</v>
      </c>
      <c r="B36" s="10"/>
    </row>
    <row r="37" spans="1:2" x14ac:dyDescent="0.2">
      <c r="A37" s="196" t="s">
        <v>88</v>
      </c>
      <c r="B37" s="10"/>
    </row>
    <row r="38" spans="1:2" x14ac:dyDescent="0.2">
      <c r="A38" s="198" t="s">
        <v>20</v>
      </c>
      <c r="B38" s="10"/>
    </row>
    <row r="39" spans="1:2" x14ac:dyDescent="0.2">
      <c r="A39" s="196" t="s">
        <v>32</v>
      </c>
      <c r="B39" s="10"/>
    </row>
    <row r="40" spans="1:2" x14ac:dyDescent="0.2">
      <c r="A40" s="196" t="s">
        <v>94</v>
      </c>
      <c r="B40" s="10"/>
    </row>
    <row r="41" spans="1:2" x14ac:dyDescent="0.2">
      <c r="A41" s="196" t="s">
        <v>28</v>
      </c>
      <c r="B41" s="10"/>
    </row>
    <row r="42" spans="1:2" x14ac:dyDescent="0.2">
      <c r="A42" s="196" t="s">
        <v>4</v>
      </c>
      <c r="B42" s="10"/>
    </row>
    <row r="43" spans="1:2" ht="13.5" customHeight="1" x14ac:dyDescent="0.2">
      <c r="A43" s="196" t="s">
        <v>84</v>
      </c>
      <c r="B43" s="11" t="s">
        <v>389</v>
      </c>
    </row>
    <row r="44" spans="1:2" ht="13.5" customHeight="1" x14ac:dyDescent="0.2">
      <c r="A44" s="196" t="s">
        <v>242</v>
      </c>
      <c r="B44" s="11" t="s">
        <v>389</v>
      </c>
    </row>
    <row r="45" spans="1:2" ht="13.5" customHeight="1" x14ac:dyDescent="0.2">
      <c r="A45" s="196" t="s">
        <v>83</v>
      </c>
      <c r="B45" s="10"/>
    </row>
    <row r="46" spans="1:2" ht="13.5" customHeight="1" x14ac:dyDescent="0.2">
      <c r="A46" s="196" t="s">
        <v>238</v>
      </c>
      <c r="B46" s="10"/>
    </row>
    <row r="47" spans="1:2" ht="13.5" customHeight="1" x14ac:dyDescent="0.2">
      <c r="A47" s="196" t="s">
        <v>209</v>
      </c>
      <c r="B47" s="10"/>
    </row>
    <row r="48" spans="1:2" x14ac:dyDescent="0.2">
      <c r="A48" s="199" t="s">
        <v>237</v>
      </c>
      <c r="B48" s="10"/>
    </row>
    <row r="49" spans="1:2" ht="13.5" customHeight="1" x14ac:dyDescent="0.2">
      <c r="A49" s="196" t="s">
        <v>14</v>
      </c>
      <c r="B49" s="10"/>
    </row>
    <row r="50" spans="1:2" x14ac:dyDescent="0.2">
      <c r="A50" s="196" t="s">
        <v>21</v>
      </c>
      <c r="B50" s="10"/>
    </row>
    <row r="51" spans="1:2" x14ac:dyDescent="0.2">
      <c r="A51" s="196" t="s">
        <v>129</v>
      </c>
      <c r="B51" s="10"/>
    </row>
    <row r="52" spans="1:2" x14ac:dyDescent="0.2">
      <c r="A52" s="196" t="s">
        <v>31</v>
      </c>
      <c r="B52" s="10"/>
    </row>
    <row r="53" spans="1:2" x14ac:dyDescent="0.2">
      <c r="A53" s="432" t="s">
        <v>339</v>
      </c>
      <c r="B53" s="38"/>
    </row>
    <row r="54" spans="1:2" x14ac:dyDescent="0.2">
      <c r="A54" s="199" t="s">
        <v>0</v>
      </c>
      <c r="B54" s="10"/>
    </row>
    <row r="55" spans="1:2" x14ac:dyDescent="0.2">
      <c r="A55" s="199" t="s">
        <v>86</v>
      </c>
      <c r="B55" s="10"/>
    </row>
    <row r="56" spans="1:2" x14ac:dyDescent="0.2">
      <c r="A56" s="199" t="s">
        <v>60</v>
      </c>
      <c r="B56" s="10"/>
    </row>
    <row r="57" spans="1:2" x14ac:dyDescent="0.2">
      <c r="A57" s="199" t="s">
        <v>96</v>
      </c>
    </row>
    <row r="58" spans="1:2" x14ac:dyDescent="0.2">
      <c r="A58" s="196" t="s">
        <v>10</v>
      </c>
    </row>
    <row r="59" spans="1:2" x14ac:dyDescent="0.2">
      <c r="A59" s="196" t="s">
        <v>107</v>
      </c>
      <c r="B59" s="38"/>
    </row>
    <row r="60" spans="1:2" x14ac:dyDescent="0.2">
      <c r="A60" s="196" t="s">
        <v>106</v>
      </c>
      <c r="B60" s="38"/>
    </row>
    <row r="61" spans="1:2" x14ac:dyDescent="0.2">
      <c r="A61" s="196" t="s">
        <v>93</v>
      </c>
      <c r="B61" s="38"/>
    </row>
    <row r="62" spans="1:2" x14ac:dyDescent="0.2">
      <c r="A62" s="196" t="s">
        <v>19</v>
      </c>
      <c r="B62" s="38"/>
    </row>
    <row r="63" spans="1:2" x14ac:dyDescent="0.2">
      <c r="A63" s="196" t="s">
        <v>85</v>
      </c>
      <c r="B63" s="38"/>
    </row>
    <row r="64" spans="1:2" x14ac:dyDescent="0.2">
      <c r="A64" s="196" t="s">
        <v>101</v>
      </c>
      <c r="B64" s="38"/>
    </row>
    <row r="65" spans="1:2" x14ac:dyDescent="0.2">
      <c r="A65" s="196" t="s">
        <v>87</v>
      </c>
      <c r="B65" s="38"/>
    </row>
    <row r="66" spans="1:2" x14ac:dyDescent="0.2">
      <c r="A66" s="196" t="s">
        <v>127</v>
      </c>
      <c r="B66" s="38"/>
    </row>
    <row r="67" spans="1:2" x14ac:dyDescent="0.2">
      <c r="A67" s="196" t="s">
        <v>13</v>
      </c>
      <c r="B67" s="38"/>
    </row>
    <row r="68" spans="1:2" x14ac:dyDescent="0.2">
      <c r="A68" s="196" t="s">
        <v>97</v>
      </c>
      <c r="B68" s="38"/>
    </row>
    <row r="69" spans="1:2" x14ac:dyDescent="0.2">
      <c r="A69" s="196" t="s">
        <v>6</v>
      </c>
      <c r="B69" s="38"/>
    </row>
    <row r="70" spans="1:2" x14ac:dyDescent="0.2">
      <c r="A70" s="196" t="s">
        <v>22</v>
      </c>
      <c r="B70" s="38"/>
    </row>
    <row r="71" spans="1:2" x14ac:dyDescent="0.2">
      <c r="A71" s="196" t="s">
        <v>124</v>
      </c>
      <c r="B71" s="11" t="s">
        <v>389</v>
      </c>
    </row>
    <row r="72" spans="1:2" x14ac:dyDescent="0.2">
      <c r="A72" s="196" t="s">
        <v>239</v>
      </c>
      <c r="B72" s="38"/>
    </row>
    <row r="73" spans="1:2" x14ac:dyDescent="0.2">
      <c r="A73" s="196" t="s">
        <v>196</v>
      </c>
      <c r="B73" s="38"/>
    </row>
    <row r="74" spans="1:2" x14ac:dyDescent="0.2">
      <c r="A74" s="196" t="s">
        <v>90</v>
      </c>
      <c r="B74" s="38"/>
    </row>
    <row r="75" spans="1:2" x14ac:dyDescent="0.2">
      <c r="A75" s="198" t="s">
        <v>335</v>
      </c>
      <c r="B75" s="38"/>
    </row>
    <row r="76" spans="1:2" x14ac:dyDescent="0.2">
      <c r="A76" s="198" t="s">
        <v>191</v>
      </c>
    </row>
    <row r="77" spans="1:2" x14ac:dyDescent="0.2">
      <c r="A77" s="198" t="s">
        <v>366</v>
      </c>
      <c r="B77" s="11" t="s">
        <v>389</v>
      </c>
    </row>
    <row r="78" spans="1:2" x14ac:dyDescent="0.2">
      <c r="A78" s="172" t="s">
        <v>353</v>
      </c>
      <c r="B78" s="38"/>
    </row>
    <row r="79" spans="1:2" x14ac:dyDescent="0.2">
      <c r="A79" s="196" t="s">
        <v>354</v>
      </c>
      <c r="B79" s="38"/>
    </row>
    <row r="80" spans="1:2" x14ac:dyDescent="0.2">
      <c r="A80" s="198" t="s">
        <v>205</v>
      </c>
      <c r="B80" s="38"/>
    </row>
    <row r="81" spans="1:2" x14ac:dyDescent="0.2">
      <c r="A81" s="196" t="s">
        <v>355</v>
      </c>
      <c r="B81" s="38"/>
    </row>
    <row r="82" spans="1:2" x14ac:dyDescent="0.2">
      <c r="A82" s="198" t="s">
        <v>356</v>
      </c>
    </row>
    <row r="83" spans="1:2" x14ac:dyDescent="0.2">
      <c r="A83" s="198" t="s">
        <v>357</v>
      </c>
    </row>
    <row r="84" spans="1:2" x14ac:dyDescent="0.2">
      <c r="A84" s="196" t="s">
        <v>169</v>
      </c>
    </row>
    <row r="85" spans="1:2" x14ac:dyDescent="0.2">
      <c r="A85" s="198"/>
    </row>
  </sheetData>
  <sortState ref="A5:A48">
    <sortCondition ref="A5"/>
  </sortState>
  <pageMargins left="0.7" right="0.7" top="0.78740157499999996" bottom="0.78740157499999996"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1"/>
  <dimension ref="A1:T8"/>
  <sheetViews>
    <sheetView showGridLines="0" showRowColHeaders="0" workbookViewId="0">
      <selection activeCell="D21" sqref="D21"/>
    </sheetView>
  </sheetViews>
  <sheetFormatPr baseColWidth="10" defaultRowHeight="15" x14ac:dyDescent="0.3"/>
  <cols>
    <col min="1" max="1" width="14.5703125" style="271" bestFit="1" customWidth="1"/>
    <col min="2" max="2" width="16.85546875" style="271" customWidth="1"/>
    <col min="3" max="3" width="20.85546875" style="271" customWidth="1"/>
    <col min="4" max="4" width="11.85546875" style="271" bestFit="1" customWidth="1"/>
    <col min="5" max="5" width="19.85546875" style="271" customWidth="1"/>
    <col min="6" max="6" width="27" style="271" customWidth="1"/>
    <col min="7" max="7" width="13.85546875" style="271" bestFit="1" customWidth="1"/>
    <col min="8" max="8" width="23.85546875" style="271" bestFit="1" customWidth="1"/>
    <col min="9" max="10" width="11.42578125" style="271"/>
    <col min="11" max="11" width="20.85546875" style="271" bestFit="1" customWidth="1"/>
    <col min="12" max="12" width="14.28515625" style="271" bestFit="1" customWidth="1"/>
    <col min="13" max="13" width="11.42578125" style="271"/>
    <col min="14" max="14" width="12.5703125" style="271" bestFit="1" customWidth="1"/>
    <col min="15" max="15" width="13.140625" style="271" customWidth="1"/>
    <col min="16" max="16" width="20.42578125" style="271" customWidth="1"/>
    <col min="17" max="17" width="12" style="271" bestFit="1" customWidth="1"/>
    <col min="18" max="18" width="18.5703125" style="271" bestFit="1" customWidth="1"/>
    <col min="19" max="19" width="13" style="271" customWidth="1"/>
    <col min="20" max="16384" width="11.42578125" style="271"/>
  </cols>
  <sheetData>
    <row r="1" spans="1:20" x14ac:dyDescent="0.3">
      <c r="A1" s="319" t="s">
        <v>120</v>
      </c>
      <c r="B1" s="319" t="s">
        <v>119</v>
      </c>
      <c r="C1" s="319" t="s">
        <v>121</v>
      </c>
      <c r="D1" s="319" t="s">
        <v>122</v>
      </c>
      <c r="E1" s="473" t="s">
        <v>419</v>
      </c>
      <c r="F1" s="319" t="s">
        <v>35</v>
      </c>
      <c r="G1" s="319" t="s">
        <v>67</v>
      </c>
      <c r="H1" s="319" t="s">
        <v>89</v>
      </c>
      <c r="I1" s="319" t="s">
        <v>143</v>
      </c>
      <c r="J1" s="319" t="s">
        <v>144</v>
      </c>
      <c r="K1" s="319" t="s">
        <v>146</v>
      </c>
      <c r="L1" s="319" t="s">
        <v>193</v>
      </c>
      <c r="M1" s="319" t="s">
        <v>212</v>
      </c>
      <c r="N1" s="319" t="s">
        <v>246</v>
      </c>
      <c r="O1" s="19" t="s">
        <v>351</v>
      </c>
      <c r="P1" s="19" t="s">
        <v>362</v>
      </c>
      <c r="Q1" s="19" t="s">
        <v>363</v>
      </c>
      <c r="R1" s="19" t="s">
        <v>364</v>
      </c>
      <c r="S1" s="19" t="s">
        <v>369</v>
      </c>
      <c r="T1" s="319" t="s">
        <v>378</v>
      </c>
    </row>
    <row r="2" spans="1:20" ht="27" x14ac:dyDescent="0.3">
      <c r="A2" s="317">
        <v>0</v>
      </c>
      <c r="B2" s="317">
        <v>0</v>
      </c>
      <c r="C2" s="282" t="s">
        <v>109</v>
      </c>
      <c r="D2" s="320">
        <v>20</v>
      </c>
      <c r="E2" s="474" t="s">
        <v>419</v>
      </c>
      <c r="F2" s="321" t="s">
        <v>36</v>
      </c>
      <c r="G2" s="271" t="s">
        <v>68</v>
      </c>
      <c r="H2" s="271" t="s">
        <v>36</v>
      </c>
      <c r="I2" s="271" t="s">
        <v>91</v>
      </c>
      <c r="J2" s="271" t="s">
        <v>91</v>
      </c>
      <c r="K2" s="271" t="s">
        <v>147</v>
      </c>
      <c r="L2" s="271" t="s">
        <v>194</v>
      </c>
      <c r="M2" s="271" t="s">
        <v>210</v>
      </c>
      <c r="N2" s="438">
        <v>10</v>
      </c>
      <c r="O2" s="439" t="s">
        <v>365</v>
      </c>
      <c r="P2" s="439" t="s">
        <v>340</v>
      </c>
      <c r="Q2" s="439" t="s">
        <v>347</v>
      </c>
      <c r="R2" s="439" t="s">
        <v>349</v>
      </c>
      <c r="S2" s="271" t="s">
        <v>370</v>
      </c>
      <c r="T2" s="271" t="s">
        <v>210</v>
      </c>
    </row>
    <row r="3" spans="1:20" ht="27" x14ac:dyDescent="0.3">
      <c r="A3" s="317">
        <v>10</v>
      </c>
      <c r="B3" s="317">
        <v>10</v>
      </c>
      <c r="C3" s="283" t="s">
        <v>108</v>
      </c>
      <c r="D3" s="320">
        <v>0</v>
      </c>
      <c r="E3" s="474" t="s">
        <v>419</v>
      </c>
      <c r="F3" s="321" t="s">
        <v>37</v>
      </c>
      <c r="G3" s="271" t="s">
        <v>69</v>
      </c>
      <c r="H3" s="271" t="s">
        <v>37</v>
      </c>
      <c r="I3" s="271" t="s">
        <v>92</v>
      </c>
      <c r="J3" s="271" t="s">
        <v>145</v>
      </c>
      <c r="K3" s="271" t="s">
        <v>148</v>
      </c>
      <c r="L3" s="271" t="s">
        <v>195</v>
      </c>
      <c r="M3" s="271" t="s">
        <v>211</v>
      </c>
      <c r="N3" s="438">
        <v>20</v>
      </c>
      <c r="O3" s="439" t="s">
        <v>352</v>
      </c>
      <c r="P3" s="439" t="s">
        <v>341</v>
      </c>
      <c r="Q3" s="439" t="s">
        <v>348</v>
      </c>
      <c r="R3" s="439" t="s">
        <v>350</v>
      </c>
      <c r="S3" s="271" t="s">
        <v>371</v>
      </c>
      <c r="T3" s="271" t="s">
        <v>211</v>
      </c>
    </row>
    <row r="4" spans="1:20" x14ac:dyDescent="0.3">
      <c r="A4" s="317">
        <v>20</v>
      </c>
      <c r="B4" s="317">
        <v>20</v>
      </c>
      <c r="D4" s="317"/>
      <c r="E4" s="474" t="s">
        <v>419</v>
      </c>
      <c r="F4" s="321" t="s">
        <v>38</v>
      </c>
      <c r="H4" s="271" t="s">
        <v>38</v>
      </c>
      <c r="K4" s="271" t="s">
        <v>149</v>
      </c>
      <c r="O4" s="439"/>
      <c r="P4" s="439" t="s">
        <v>342</v>
      </c>
      <c r="Q4" s="439"/>
      <c r="R4" s="439"/>
    </row>
    <row r="5" spans="1:20" ht="27.75" customHeight="1" x14ac:dyDescent="0.3">
      <c r="E5" s="474"/>
      <c r="F5" s="437" t="s">
        <v>33</v>
      </c>
      <c r="H5" s="271" t="s">
        <v>316</v>
      </c>
      <c r="O5" s="439"/>
      <c r="P5" s="439" t="s">
        <v>343</v>
      </c>
      <c r="Q5" s="439"/>
      <c r="R5" s="439"/>
    </row>
    <row r="6" spans="1:20" ht="27" customHeight="1" x14ac:dyDescent="0.3">
      <c r="F6" s="437" t="s">
        <v>39</v>
      </c>
      <c r="H6" s="271" t="s">
        <v>34</v>
      </c>
      <c r="O6" s="439"/>
      <c r="P6" s="439" t="s">
        <v>344</v>
      </c>
      <c r="Q6" s="439"/>
      <c r="R6" s="439"/>
    </row>
    <row r="7" spans="1:20" x14ac:dyDescent="0.3">
      <c r="F7" s="271" t="s">
        <v>396</v>
      </c>
      <c r="O7" s="439"/>
      <c r="P7" s="439" t="s">
        <v>345</v>
      </c>
      <c r="Q7" s="439"/>
      <c r="R7" s="439"/>
    </row>
    <row r="8" spans="1:20" x14ac:dyDescent="0.3">
      <c r="O8" s="439"/>
      <c r="P8" s="439" t="s">
        <v>346</v>
      </c>
      <c r="Q8" s="439"/>
      <c r="R8" s="439"/>
    </row>
  </sheetData>
  <pageMargins left="0.7" right="0.7" top="0.78740157499999996" bottom="0.78740157499999996" header="0.3" footer="0.3"/>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21"/>
  <dimension ref="A1:X23"/>
  <sheetViews>
    <sheetView showGridLines="0" showRowColHeaders="0" workbookViewId="0">
      <selection activeCell="L17" sqref="L17:M17"/>
    </sheetView>
  </sheetViews>
  <sheetFormatPr baseColWidth="10" defaultRowHeight="14.25" outlineLevelRow="1" x14ac:dyDescent="0.2"/>
  <cols>
    <col min="1" max="1" width="4.42578125" style="76" customWidth="1"/>
    <col min="2" max="2" width="25.7109375" style="76" customWidth="1"/>
    <col min="3" max="6" width="11.42578125" style="76"/>
    <col min="7" max="7" width="11.42578125" style="76" collapsed="1"/>
    <col min="8" max="256" width="11.42578125" style="76"/>
    <col min="257" max="257" width="4.42578125" style="76" customWidth="1"/>
    <col min="258" max="258" width="25.7109375" style="76" customWidth="1"/>
    <col min="259" max="512" width="11.42578125" style="76"/>
    <col min="513" max="513" width="4.42578125" style="76" customWidth="1"/>
    <col min="514" max="514" width="25.7109375" style="76" customWidth="1"/>
    <col min="515" max="768" width="11.42578125" style="76"/>
    <col min="769" max="769" width="4.42578125" style="76" customWidth="1"/>
    <col min="770" max="770" width="25.7109375" style="76" customWidth="1"/>
    <col min="771" max="1024" width="11.42578125" style="76"/>
    <col min="1025" max="1025" width="4.42578125" style="76" customWidth="1"/>
    <col min="1026" max="1026" width="25.7109375" style="76" customWidth="1"/>
    <col min="1027" max="1280" width="11.42578125" style="76"/>
    <col min="1281" max="1281" width="4.42578125" style="76" customWidth="1"/>
    <col min="1282" max="1282" width="25.7109375" style="76" customWidth="1"/>
    <col min="1283" max="1536" width="11.42578125" style="76"/>
    <col min="1537" max="1537" width="4.42578125" style="76" customWidth="1"/>
    <col min="1538" max="1538" width="25.7109375" style="76" customWidth="1"/>
    <col min="1539" max="1792" width="11.42578125" style="76"/>
    <col min="1793" max="1793" width="4.42578125" style="76" customWidth="1"/>
    <col min="1794" max="1794" width="25.7109375" style="76" customWidth="1"/>
    <col min="1795" max="2048" width="11.42578125" style="76"/>
    <col min="2049" max="2049" width="4.42578125" style="76" customWidth="1"/>
    <col min="2050" max="2050" width="25.7109375" style="76" customWidth="1"/>
    <col min="2051" max="2304" width="11.42578125" style="76"/>
    <col min="2305" max="2305" width="4.42578125" style="76" customWidth="1"/>
    <col min="2306" max="2306" width="25.7109375" style="76" customWidth="1"/>
    <col min="2307" max="2560" width="11.42578125" style="76"/>
    <col min="2561" max="2561" width="4.42578125" style="76" customWidth="1"/>
    <col min="2562" max="2562" width="25.7109375" style="76" customWidth="1"/>
    <col min="2563" max="2816" width="11.42578125" style="76"/>
    <col min="2817" max="2817" width="4.42578125" style="76" customWidth="1"/>
    <col min="2818" max="2818" width="25.7109375" style="76" customWidth="1"/>
    <col min="2819" max="3072" width="11.42578125" style="76"/>
    <col min="3073" max="3073" width="4.42578125" style="76" customWidth="1"/>
    <col min="3074" max="3074" width="25.7109375" style="76" customWidth="1"/>
    <col min="3075" max="3328" width="11.42578125" style="76"/>
    <col min="3329" max="3329" width="4.42578125" style="76" customWidth="1"/>
    <col min="3330" max="3330" width="25.7109375" style="76" customWidth="1"/>
    <col min="3331" max="3584" width="11.42578125" style="76"/>
    <col min="3585" max="3585" width="4.42578125" style="76" customWidth="1"/>
    <col min="3586" max="3586" width="25.7109375" style="76" customWidth="1"/>
    <col min="3587" max="3840" width="11.42578125" style="76"/>
    <col min="3841" max="3841" width="4.42578125" style="76" customWidth="1"/>
    <col min="3842" max="3842" width="25.7109375" style="76" customWidth="1"/>
    <col min="3843" max="4096" width="11.42578125" style="76"/>
    <col min="4097" max="4097" width="4.42578125" style="76" customWidth="1"/>
    <col min="4098" max="4098" width="25.7109375" style="76" customWidth="1"/>
    <col min="4099" max="4352" width="11.42578125" style="76"/>
    <col min="4353" max="4353" width="4.42578125" style="76" customWidth="1"/>
    <col min="4354" max="4354" width="25.7109375" style="76" customWidth="1"/>
    <col min="4355" max="4608" width="11.42578125" style="76"/>
    <col min="4609" max="4609" width="4.42578125" style="76" customWidth="1"/>
    <col min="4610" max="4610" width="25.7109375" style="76" customWidth="1"/>
    <col min="4611" max="4864" width="11.42578125" style="76"/>
    <col min="4865" max="4865" width="4.42578125" style="76" customWidth="1"/>
    <col min="4866" max="4866" width="25.7109375" style="76" customWidth="1"/>
    <col min="4867" max="5120" width="11.42578125" style="76"/>
    <col min="5121" max="5121" width="4.42578125" style="76" customWidth="1"/>
    <col min="5122" max="5122" width="25.7109375" style="76" customWidth="1"/>
    <col min="5123" max="5376" width="11.42578125" style="76"/>
    <col min="5377" max="5377" width="4.42578125" style="76" customWidth="1"/>
    <col min="5378" max="5378" width="25.7109375" style="76" customWidth="1"/>
    <col min="5379" max="5632" width="11.42578125" style="76"/>
    <col min="5633" max="5633" width="4.42578125" style="76" customWidth="1"/>
    <col min="5634" max="5634" width="25.7109375" style="76" customWidth="1"/>
    <col min="5635" max="5888" width="11.42578125" style="76"/>
    <col min="5889" max="5889" width="4.42578125" style="76" customWidth="1"/>
    <col min="5890" max="5890" width="25.7109375" style="76" customWidth="1"/>
    <col min="5891" max="6144" width="11.42578125" style="76"/>
    <col min="6145" max="6145" width="4.42578125" style="76" customWidth="1"/>
    <col min="6146" max="6146" width="25.7109375" style="76" customWidth="1"/>
    <col min="6147" max="6400" width="11.42578125" style="76"/>
    <col min="6401" max="6401" width="4.42578125" style="76" customWidth="1"/>
    <col min="6402" max="6402" width="25.7109375" style="76" customWidth="1"/>
    <col min="6403" max="6656" width="11.42578125" style="76"/>
    <col min="6657" max="6657" width="4.42578125" style="76" customWidth="1"/>
    <col min="6658" max="6658" width="25.7109375" style="76" customWidth="1"/>
    <col min="6659" max="6912" width="11.42578125" style="76"/>
    <col min="6913" max="6913" width="4.42578125" style="76" customWidth="1"/>
    <col min="6914" max="6914" width="25.7109375" style="76" customWidth="1"/>
    <col min="6915" max="7168" width="11.42578125" style="76"/>
    <col min="7169" max="7169" width="4.42578125" style="76" customWidth="1"/>
    <col min="7170" max="7170" width="25.7109375" style="76" customWidth="1"/>
    <col min="7171" max="7424" width="11.42578125" style="76"/>
    <col min="7425" max="7425" width="4.42578125" style="76" customWidth="1"/>
    <col min="7426" max="7426" width="25.7109375" style="76" customWidth="1"/>
    <col min="7427" max="7680" width="11.42578125" style="76"/>
    <col min="7681" max="7681" width="4.42578125" style="76" customWidth="1"/>
    <col min="7682" max="7682" width="25.7109375" style="76" customWidth="1"/>
    <col min="7683" max="7936" width="11.42578125" style="76"/>
    <col min="7937" max="7937" width="4.42578125" style="76" customWidth="1"/>
    <col min="7938" max="7938" width="25.7109375" style="76" customWidth="1"/>
    <col min="7939" max="8192" width="11.42578125" style="76"/>
    <col min="8193" max="8193" width="4.42578125" style="76" customWidth="1"/>
    <col min="8194" max="8194" width="25.7109375" style="76" customWidth="1"/>
    <col min="8195" max="8448" width="11.42578125" style="76"/>
    <col min="8449" max="8449" width="4.42578125" style="76" customWidth="1"/>
    <col min="8450" max="8450" width="25.7109375" style="76" customWidth="1"/>
    <col min="8451" max="8704" width="11.42578125" style="76"/>
    <col min="8705" max="8705" width="4.42578125" style="76" customWidth="1"/>
    <col min="8706" max="8706" width="25.7109375" style="76" customWidth="1"/>
    <col min="8707" max="8960" width="11.42578125" style="76"/>
    <col min="8961" max="8961" width="4.42578125" style="76" customWidth="1"/>
    <col min="8962" max="8962" width="25.7109375" style="76" customWidth="1"/>
    <col min="8963" max="9216" width="11.42578125" style="76"/>
    <col min="9217" max="9217" width="4.42578125" style="76" customWidth="1"/>
    <col min="9218" max="9218" width="25.7109375" style="76" customWidth="1"/>
    <col min="9219" max="9472" width="11.42578125" style="76"/>
    <col min="9473" max="9473" width="4.42578125" style="76" customWidth="1"/>
    <col min="9474" max="9474" width="25.7109375" style="76" customWidth="1"/>
    <col min="9475" max="9728" width="11.42578125" style="76"/>
    <col min="9729" max="9729" width="4.42578125" style="76" customWidth="1"/>
    <col min="9730" max="9730" width="25.7109375" style="76" customWidth="1"/>
    <col min="9731" max="9984" width="11.42578125" style="76"/>
    <col min="9985" max="9985" width="4.42578125" style="76" customWidth="1"/>
    <col min="9986" max="9986" width="25.7109375" style="76" customWidth="1"/>
    <col min="9987" max="10240" width="11.42578125" style="76"/>
    <col min="10241" max="10241" width="4.42578125" style="76" customWidth="1"/>
    <col min="10242" max="10242" width="25.7109375" style="76" customWidth="1"/>
    <col min="10243" max="10496" width="11.42578125" style="76"/>
    <col min="10497" max="10497" width="4.42578125" style="76" customWidth="1"/>
    <col min="10498" max="10498" width="25.7109375" style="76" customWidth="1"/>
    <col min="10499" max="10752" width="11.42578125" style="76"/>
    <col min="10753" max="10753" width="4.42578125" style="76" customWidth="1"/>
    <col min="10754" max="10754" width="25.7109375" style="76" customWidth="1"/>
    <col min="10755" max="11008" width="11.42578125" style="76"/>
    <col min="11009" max="11009" width="4.42578125" style="76" customWidth="1"/>
    <col min="11010" max="11010" width="25.7109375" style="76" customWidth="1"/>
    <col min="11011" max="11264" width="11.42578125" style="76"/>
    <col min="11265" max="11265" width="4.42578125" style="76" customWidth="1"/>
    <col min="11266" max="11266" width="25.7109375" style="76" customWidth="1"/>
    <col min="11267" max="11520" width="11.42578125" style="76"/>
    <col min="11521" max="11521" width="4.42578125" style="76" customWidth="1"/>
    <col min="11522" max="11522" width="25.7109375" style="76" customWidth="1"/>
    <col min="11523" max="11776" width="11.42578125" style="76"/>
    <col min="11777" max="11777" width="4.42578125" style="76" customWidth="1"/>
    <col min="11778" max="11778" width="25.7109375" style="76" customWidth="1"/>
    <col min="11779" max="12032" width="11.42578125" style="76"/>
    <col min="12033" max="12033" width="4.42578125" style="76" customWidth="1"/>
    <col min="12034" max="12034" width="25.7109375" style="76" customWidth="1"/>
    <col min="12035" max="12288" width="11.42578125" style="76"/>
    <col min="12289" max="12289" width="4.42578125" style="76" customWidth="1"/>
    <col min="12290" max="12290" width="25.7109375" style="76" customWidth="1"/>
    <col min="12291" max="12544" width="11.42578125" style="76"/>
    <col min="12545" max="12545" width="4.42578125" style="76" customWidth="1"/>
    <col min="12546" max="12546" width="25.7109375" style="76" customWidth="1"/>
    <col min="12547" max="12800" width="11.42578125" style="76"/>
    <col min="12801" max="12801" width="4.42578125" style="76" customWidth="1"/>
    <col min="12802" max="12802" width="25.7109375" style="76" customWidth="1"/>
    <col min="12803" max="13056" width="11.42578125" style="76"/>
    <col min="13057" max="13057" width="4.42578125" style="76" customWidth="1"/>
    <col min="13058" max="13058" width="25.7109375" style="76" customWidth="1"/>
    <col min="13059" max="13312" width="11.42578125" style="76"/>
    <col min="13313" max="13313" width="4.42578125" style="76" customWidth="1"/>
    <col min="13314" max="13314" width="25.7109375" style="76" customWidth="1"/>
    <col min="13315" max="13568" width="11.42578125" style="76"/>
    <col min="13569" max="13569" width="4.42578125" style="76" customWidth="1"/>
    <col min="13570" max="13570" width="25.7109375" style="76" customWidth="1"/>
    <col min="13571" max="13824" width="11.42578125" style="76"/>
    <col min="13825" max="13825" width="4.42578125" style="76" customWidth="1"/>
    <col min="13826" max="13826" width="25.7109375" style="76" customWidth="1"/>
    <col min="13827" max="14080" width="11.42578125" style="76"/>
    <col min="14081" max="14081" width="4.42578125" style="76" customWidth="1"/>
    <col min="14082" max="14082" width="25.7109375" style="76" customWidth="1"/>
    <col min="14083" max="14336" width="11.42578125" style="76"/>
    <col min="14337" max="14337" width="4.42578125" style="76" customWidth="1"/>
    <col min="14338" max="14338" width="25.7109375" style="76" customWidth="1"/>
    <col min="14339" max="14592" width="11.42578125" style="76"/>
    <col min="14593" max="14593" width="4.42578125" style="76" customWidth="1"/>
    <col min="14594" max="14594" width="25.7109375" style="76" customWidth="1"/>
    <col min="14595" max="14848" width="11.42578125" style="76"/>
    <col min="14849" max="14849" width="4.42578125" style="76" customWidth="1"/>
    <col min="14850" max="14850" width="25.7109375" style="76" customWidth="1"/>
    <col min="14851" max="15104" width="11.42578125" style="76"/>
    <col min="15105" max="15105" width="4.42578125" style="76" customWidth="1"/>
    <col min="15106" max="15106" width="25.7109375" style="76" customWidth="1"/>
    <col min="15107" max="15360" width="11.42578125" style="76"/>
    <col min="15361" max="15361" width="4.42578125" style="76" customWidth="1"/>
    <col min="15362" max="15362" width="25.7109375" style="76" customWidth="1"/>
    <col min="15363" max="15616" width="11.42578125" style="76"/>
    <col min="15617" max="15617" width="4.42578125" style="76" customWidth="1"/>
    <col min="15618" max="15618" width="25.7109375" style="76" customWidth="1"/>
    <col min="15619" max="15872" width="11.42578125" style="76"/>
    <col min="15873" max="15873" width="4.42578125" style="76" customWidth="1"/>
    <col min="15874" max="15874" width="25.7109375" style="76" customWidth="1"/>
    <col min="15875" max="16128" width="11.42578125" style="76"/>
    <col min="16129" max="16129" width="4.42578125" style="76" customWidth="1"/>
    <col min="16130" max="16130" width="25.7109375" style="76" customWidth="1"/>
    <col min="16131" max="16384" width="11.42578125" style="76"/>
  </cols>
  <sheetData>
    <row r="1" spans="1:24" x14ac:dyDescent="0.2">
      <c r="X1" s="85"/>
    </row>
    <row r="2" spans="1:24" ht="19.5" x14ac:dyDescent="0.3">
      <c r="B2" s="86" t="s">
        <v>70</v>
      </c>
      <c r="C2"/>
      <c r="D2"/>
      <c r="E2"/>
      <c r="X2" s="87"/>
    </row>
    <row r="3" spans="1:24" x14ac:dyDescent="0.2">
      <c r="C3"/>
      <c r="D3"/>
      <c r="E3"/>
    </row>
    <row r="4" spans="1:24" x14ac:dyDescent="0.2">
      <c r="C4"/>
      <c r="D4"/>
      <c r="E4"/>
    </row>
    <row r="5" spans="1:24" x14ac:dyDescent="0.2">
      <c r="B5" s="88"/>
      <c r="C5"/>
      <c r="D5"/>
      <c r="E5"/>
    </row>
    <row r="6" spans="1:24" ht="15.75" x14ac:dyDescent="0.25">
      <c r="A6" s="89"/>
      <c r="B6" s="73">
        <v>81369.47</v>
      </c>
      <c r="C6" s="74" t="str">
        <f>IF(ROUND(VALUE(10*(100*B6-INT(100*B6))),0)&gt;0,"maximal 2 Nachkommastellen","")</f>
        <v/>
      </c>
      <c r="D6" s="75"/>
    </row>
    <row r="7" spans="1:24" ht="15.75" x14ac:dyDescent="0.25">
      <c r="A7" s="73"/>
      <c r="C7"/>
      <c r="D7"/>
      <c r="E7"/>
    </row>
    <row r="8" spans="1:24" ht="15.75" x14ac:dyDescent="0.25">
      <c r="A8" s="90" t="s">
        <v>71</v>
      </c>
      <c r="B8" s="77" t="str">
        <f>IF(B6&gt;=1000000000,"nur unter 1 Milliarde",IF(ABS(B6)&lt;1,"null",IF(B6&lt;0,"minus   ","")&amp;IF(B13=0,"",C13)&amp;IF(AND(B14=0,B15=0),"",D14)&amp;IF(B16=0,"",C16)&amp;IF(AND(B17=0,B18=0),"",D17)&amp;IF(B19=0,"",C19)&amp;IF(AND(B20=0,B21=0),"",IF(AND(B20=0,B21=1),"eins",D20))))&amp;IF(F19=0,"",IF(A8=1,H19,H20))</f>
        <v>einundachtzigtausenddreihundertneunundsechzig    Komma siebenundvierzig</v>
      </c>
      <c r="C8"/>
      <c r="D8"/>
      <c r="E8"/>
    </row>
    <row r="9" spans="1:24" ht="15" x14ac:dyDescent="0.25">
      <c r="B9" s="78"/>
      <c r="C9" s="79"/>
    </row>
    <row r="10" spans="1:24" ht="15" outlineLevel="1" x14ac:dyDescent="0.25">
      <c r="B10" s="80" t="str">
        <f>SUBSTITUTE(SUBSTITUTE(SUBSTITUTE(SUBSTITUTE(SUBSTITUTE(SUBSTITUTE(SUBSTITUTE(SUBSTITUTE(B6,0,"Null   "),1,"Eins   "),2,"Zwo   "),3,"Drei   "),4,"Vier   "),5,"Fünf   "),6,"Sechs   "),7,"Sieben   ")</f>
        <v xml:space="preserve">8Eins   Drei   Sechs   9,Vier   Sieben   </v>
      </c>
      <c r="C10" s="79"/>
    </row>
    <row r="11" spans="1:24" outlineLevel="1" x14ac:dyDescent="0.2"/>
    <row r="12" spans="1:24" outlineLevel="1" x14ac:dyDescent="0.2">
      <c r="G12" s="81">
        <f>ABS(100*(MOD(B6,1)-(B6&lt;0)))</f>
        <v>47.000000000116415</v>
      </c>
    </row>
    <row r="13" spans="1:24" ht="15" outlineLevel="1" x14ac:dyDescent="0.25">
      <c r="B13" s="82">
        <f>VALUE(RIGHT(INT(ABS(B6)/100000000)))</f>
        <v>0</v>
      </c>
      <c r="C13" s="76" t="str">
        <f>IF(B13=1,"ein",IF(B13=2,"zwei",IF(B13=3,"drei",IF(B13=4,"vier",IF(B13=5,"fünf",IF(B13=6,"sechs",IF(B13=7,"sieben",IF(B13=8,"acht","neun"))))))))&amp;"hundert"&amp;IF(AND(B14=0,B15=0),"millionen","")</f>
        <v>neunhundertmillionen</v>
      </c>
      <c r="G13" s="76">
        <f>ROUND(100*(ABS(B6)-INT(ABS(B6))),0)</f>
        <v>47</v>
      </c>
    </row>
    <row r="14" spans="1:24" ht="15" outlineLevel="1" x14ac:dyDescent="0.25">
      <c r="B14" s="82">
        <f>VALUE(RIGHT(INT(ABS(B6)/10000000)))</f>
        <v>0</v>
      </c>
      <c r="C14" s="76" t="str">
        <f>IF(B14=1,"zehn",IF(B14=2,"zwanzig",IF(B14=3,"dreißig",IF(B14=4,"vierzig",IF(B14=5,"fünfzig",IF(B14=6,"sechzig",IF(B14=7,"siebzig",IF(B14=8,"achtzig","neunzig"))))))))</f>
        <v>neunzig</v>
      </c>
      <c r="D14" s="76" t="str">
        <f>IF(AND(B14=0,B15=1),"einemillion",IF(AND(B14=1,B15=1),"elf",IF(AND(B14=1,B15=2),"zwölf",IF(AND(B14=1,B15=6),"sechzehn",IF(AND(B14=1,B15=7),"siebzehn",IF(B15=0,C14,IF(B14=0,C15,C15&amp;IF(B14&gt;1,"und","")&amp;C14))))))&amp;"millionen")</f>
        <v>neunzigmillionen</v>
      </c>
    </row>
    <row r="15" spans="1:24" ht="15" outlineLevel="1" x14ac:dyDescent="0.25">
      <c r="B15" s="82">
        <f>VALUE(RIGHT(INT(ABS(B6)/1000000)))</f>
        <v>0</v>
      </c>
      <c r="C15" s="76" t="str">
        <f>IF(B15=1,"ein",IF(B15=2,"zwei",IF(B15=3,"drei",IF(B15=4,"vier",IF(B15=5,"fünf",IF(B15=6,"sechs",IF(B15=7,"sieben",IF(B15=8,"acht","neun"))))))))</f>
        <v>neun</v>
      </c>
    </row>
    <row r="16" spans="1:24" ht="15" outlineLevel="1" x14ac:dyDescent="0.25">
      <c r="B16" s="82">
        <f>VALUE(RIGHT(INT(ABS(B6)/100000)))</f>
        <v>0</v>
      </c>
      <c r="C16" s="76" t="str">
        <f>IF(B16=1,"ein",IF(B16=2,"zwei",IF(B16=3,"drei",IF(B16=4,"vier",IF(B16=5,"fünf",IF(B16=6,"sechs",IF(B16=7,"sieben",IF(B16=8,"acht","neun"))))))))&amp;"hundert"&amp;IF(AND(B17=0,B18=0),"tausend","")</f>
        <v>neunhundert</v>
      </c>
    </row>
    <row r="17" spans="2:8" ht="15" outlineLevel="1" x14ac:dyDescent="0.25">
      <c r="B17" s="82">
        <f>VALUE(RIGHT(INT(ABS(B6)/10000)))</f>
        <v>8</v>
      </c>
      <c r="C17" s="76" t="str">
        <f>IF(B17=1,"zehn",IF(B17=2,"zwanzig",IF(B17=3,"dreißig",IF(B17=4,"vierzig",IF(B17=5,"fünfzig",IF(B17=6,"sechzig",IF(B17=7,"siebzig",IF(B17=8,"achtzig","neunzig"))))))))</f>
        <v>achtzig</v>
      </c>
      <c r="D17" s="76" t="str">
        <f>IF(AND(B17=1,B18=1),"elf",IF(AND(B17=1,B18=2),"zwölf",IF(AND(B17=1,B18=6),"sechzehn",IF(AND(B17=1,B18=7),"siebzehn",IF(B18=0,C17,IF(B17=0,C18,C18&amp;IF(B17&gt;1,"und","")&amp;C17))))))&amp;"tausend"</f>
        <v>einundachtzigtausend</v>
      </c>
    </row>
    <row r="18" spans="2:8" ht="15" outlineLevel="1" x14ac:dyDescent="0.25">
      <c r="B18" s="82">
        <f>VALUE(RIGHT(INT(ABS(B6)/1000)))</f>
        <v>1</v>
      </c>
      <c r="C18" s="76" t="str">
        <f>IF(B18=1,"ein",IF(B18=2,"zwei",IF(B18=3,"drei",IF(B18=4,"vier",IF(B18=5,"fünf",IF(B18=6,"sechs",IF(B18=7,"sieben",IF(B18=8,"acht","neun"))))))))</f>
        <v>ein</v>
      </c>
    </row>
    <row r="19" spans="2:8" ht="15" outlineLevel="1" x14ac:dyDescent="0.25">
      <c r="B19" s="82">
        <f>VALUE(RIGHT(INT(ABS(B6)/100)))</f>
        <v>3</v>
      </c>
      <c r="C19" s="76" t="str">
        <f>IF(B19=1,"ein",IF(B19=2,"zwei",IF(B19=3,"drei",IF(B19=4,"vier",IF(B19=5,"fünf",IF(B19=6,"sechs",IF(B19=7,"sieben",IF(B19=8,"acht","neun"))))))))&amp;"hundert"</f>
        <v>dreihundert</v>
      </c>
      <c r="F19" s="83">
        <f>IF(A8=0,0,ROUND(100*(ABS(B6)-INT(ABS(B6))),0))</f>
        <v>47</v>
      </c>
      <c r="H19" s="76" t="str">
        <f>TEXT(F19,"   00")&amp;"/100"</f>
        <v xml:space="preserve">   47/100</v>
      </c>
    </row>
    <row r="20" spans="2:8" ht="15" outlineLevel="1" x14ac:dyDescent="0.25">
      <c r="B20" s="82">
        <f>VALUE(RIGHT(INT(ABS(B6)/10)))</f>
        <v>6</v>
      </c>
      <c r="C20" s="76" t="str">
        <f>IF(B20=1,"zehn",IF(B20=2,"zwanzig",IF(B20=3,"dreißig",IF(B20=4,"vierzig",IF(B20=5,"fünfzig",IF(B20=6,"sechzig",IF(B20=7,"siebzig",IF(B20=8,"achtzig","neunzig"))))))))</f>
        <v>sechzig</v>
      </c>
      <c r="D20" s="76" t="str">
        <f>IF(AND(B20=1,B21=1),"elf",IF(AND(B20=1,B21=2),"zwölf",IF(AND(B20=1,B21=6),"sechzehn",IF(AND(B20=1,B21=7),"siebzehn",IF(B21=0,C20,IF(B20=0,C21,C21&amp;IF(B20&gt;1,"und","")&amp;C20))))))</f>
        <v>neunundsechzig</v>
      </c>
      <c r="F20" s="82">
        <f>VALUE(RIGHT(INT(ABS(F19)/10)))</f>
        <v>4</v>
      </c>
      <c r="G20" s="76" t="str">
        <f>IF(F20=1,"zehn",IF(F20=2,"zwanzig",IF(F20=3,"dreißig",IF(F20=4,"vierzig",IF(F20=5,"fünfzig",IF(F20=6,"sechzig",IF(F20=7,"siebzig",IF(F20=8,"achtzig","neunzig"))))))))</f>
        <v>vierzig</v>
      </c>
      <c r="H20" s="76" t="str">
        <f>"    Komma "&amp;IF(F19&lt;10,"null ","")&amp;IF(F19=1,"eins",IF(AND(F20=1,F21=1),"elf",IF(AND(F20=1,F21=2),"zwölf",IF(AND(F20=1,F21=6),"sechzehn",IF(AND(F20=1,F21=7),"siebzehn",IF(F21=0,G20,IF(F20=0,G21,G21&amp;IF(F20&gt;1,"und","")&amp;G20)))))))</f>
        <v xml:space="preserve">    Komma siebenundvierzig</v>
      </c>
    </row>
    <row r="21" spans="2:8" ht="15" outlineLevel="1" x14ac:dyDescent="0.25">
      <c r="B21" s="82">
        <f>VALUE(RIGHT(INT(ABS(B6))))</f>
        <v>9</v>
      </c>
      <c r="C21" s="76" t="str">
        <f>IF(B21=1,"ein",IF(B21=2,"zwei",IF(B21=3,"drei",IF(B21=4,"vier",IF(B21=5,"fünf",IF(B21=6,"sechs",IF(B21=7,"sieben",IF(B21=8,"acht","neun"))))))))</f>
        <v>neun</v>
      </c>
      <c r="F21" s="82">
        <f>VALUE(RIGHT(INT(ABS(F19))))</f>
        <v>7</v>
      </c>
      <c r="G21" s="76" t="str">
        <f>IF(F21=1,"ein",IF(F21=2,"zwei",IF(F21=3,"drei",IF(F21=4,"vier",IF(F21=5,"fünf",IF(F21=6,"sechs",IF(F21=7,"sieben",IF(F21=8,"acht","neun"))))))))</f>
        <v>sieben</v>
      </c>
    </row>
    <row r="23" spans="2:8" x14ac:dyDescent="0.2">
      <c r="B23" s="84" t="str">
        <f>IF(B6&lt;0,"minus   ","")&amp;SUBSTITUTE(SUBSTITUTE(SUBSTITUTE(SUBSTITUTE(B10,8,"Acht   "),9,"Neun   "),",","Komma   "),"-","")</f>
        <v xml:space="preserve">Acht   Eins   Drei   Sechs   Neun   Komma   Vier   Sieben   </v>
      </c>
    </row>
  </sheetData>
  <pageMargins left="0.7" right="0.7" top="0.78740157499999996" bottom="0.78740157499999996"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31"/>
  <dimension ref="A1:V120"/>
  <sheetViews>
    <sheetView showGridLines="0" showRowColHeaders="0" zoomScaleNormal="100" workbookViewId="0">
      <selection activeCell="P4" sqref="P4"/>
    </sheetView>
  </sheetViews>
  <sheetFormatPr baseColWidth="10" defaultRowHeight="15" x14ac:dyDescent="0.3"/>
  <cols>
    <col min="1" max="1" width="11.42578125" style="322"/>
    <col min="2" max="2" width="14.28515625" style="97" customWidth="1"/>
    <col min="3" max="6" width="11.42578125" style="97"/>
    <col min="7" max="7" width="11.42578125" style="323"/>
    <col min="8" max="8" width="32.42578125" style="323" bestFit="1" customWidth="1"/>
    <col min="9" max="11" width="11.42578125" style="97"/>
    <col min="12" max="12" width="21" style="325" customWidth="1"/>
    <col min="13" max="13" width="6.85546875" style="97" customWidth="1"/>
    <col min="14" max="14" width="18" style="377" customWidth="1"/>
    <col min="15" max="16384" width="11.42578125" style="97"/>
  </cols>
  <sheetData>
    <row r="1" spans="1:22" ht="69.75" customHeight="1" x14ac:dyDescent="0.2">
      <c r="A1" s="322" t="s">
        <v>110</v>
      </c>
      <c r="G1" s="322" t="e">
        <f>Belegverwaltung!#REF!</f>
        <v>#REF!</v>
      </c>
      <c r="H1" s="322" t="s">
        <v>102</v>
      </c>
      <c r="L1" s="324" t="s">
        <v>248</v>
      </c>
      <c r="P1" s="630" t="s">
        <v>255</v>
      </c>
      <c r="Q1" s="630"/>
      <c r="R1" s="630"/>
      <c r="S1" s="630"/>
      <c r="T1" s="630"/>
      <c r="U1" s="630"/>
      <c r="V1" s="630"/>
    </row>
    <row r="2" spans="1:22" ht="69.75" customHeight="1" x14ac:dyDescent="0.2">
      <c r="A2" s="322" t="s">
        <v>111</v>
      </c>
      <c r="G2" s="322" t="e">
        <f>#REF!</f>
        <v>#REF!</v>
      </c>
      <c r="H2" s="322" t="s">
        <v>103</v>
      </c>
      <c r="L2" s="324" t="s">
        <v>249</v>
      </c>
      <c r="P2" s="631" t="s">
        <v>252</v>
      </c>
      <c r="Q2" s="631"/>
      <c r="R2" s="631"/>
      <c r="S2" s="631"/>
      <c r="T2" s="631"/>
    </row>
    <row r="3" spans="1:22" ht="69.75" customHeight="1" x14ac:dyDescent="0.2">
      <c r="A3" s="322" t="s">
        <v>112</v>
      </c>
      <c r="G3" s="322" t="e">
        <f>#REF!</f>
        <v>#REF!</v>
      </c>
      <c r="H3" s="322" t="s">
        <v>104</v>
      </c>
      <c r="L3" s="324" t="s">
        <v>253</v>
      </c>
      <c r="P3" s="635" t="s">
        <v>250</v>
      </c>
      <c r="Q3" s="635"/>
      <c r="S3" s="204" t="str">
        <f>P3</f>
        <v>Musterbeleg magenta</v>
      </c>
    </row>
    <row r="4" spans="1:22" ht="69.75" customHeight="1" x14ac:dyDescent="0.2">
      <c r="A4" s="322" t="s">
        <v>113</v>
      </c>
      <c r="G4" s="422" t="str">
        <f>'Bank EIN-AUS'!K11</f>
        <v>Logo03</v>
      </c>
      <c r="H4" s="322" t="s">
        <v>333</v>
      </c>
      <c r="L4" s="324" t="s">
        <v>254</v>
      </c>
    </row>
    <row r="5" spans="1:22" ht="69.75" customHeight="1" x14ac:dyDescent="0.2">
      <c r="A5" s="322" t="s">
        <v>114</v>
      </c>
      <c r="G5" s="322" t="str">
        <f>'ZA allg.'!M19</f>
        <v>Logo20</v>
      </c>
      <c r="H5" s="322" t="s">
        <v>167</v>
      </c>
      <c r="L5" s="324" t="s">
        <v>250</v>
      </c>
    </row>
    <row r="6" spans="1:22" ht="69.75" customHeight="1" x14ac:dyDescent="0.2">
      <c r="A6" s="322" t="s">
        <v>115</v>
      </c>
      <c r="G6" s="322" t="e">
        <f>#REF!</f>
        <v>#REF!</v>
      </c>
      <c r="H6" s="322" t="s">
        <v>166</v>
      </c>
      <c r="L6" s="324" t="s">
        <v>251</v>
      </c>
      <c r="P6" s="252"/>
    </row>
    <row r="7" spans="1:22" ht="69.75" customHeight="1" x14ac:dyDescent="0.3">
      <c r="A7" s="322" t="s">
        <v>116</v>
      </c>
      <c r="G7" s="322" t="e">
        <f>#REF!</f>
        <v>#REF!</v>
      </c>
      <c r="H7" s="322" t="s">
        <v>168</v>
      </c>
      <c r="P7" s="638" t="s">
        <v>417</v>
      </c>
      <c r="Q7" s="638"/>
      <c r="U7" s="97" t="s">
        <v>259</v>
      </c>
    </row>
    <row r="8" spans="1:22" ht="69.75" customHeight="1" x14ac:dyDescent="0.3">
      <c r="A8" s="322" t="s">
        <v>117</v>
      </c>
      <c r="G8" s="322" t="e">
        <f>#REF!</f>
        <v>#REF!</v>
      </c>
      <c r="H8" s="322" t="s">
        <v>192</v>
      </c>
      <c r="N8" s="632"/>
      <c r="O8" s="632"/>
      <c r="P8" s="635" t="s">
        <v>256</v>
      </c>
      <c r="Q8" s="635"/>
      <c r="S8" s="634" t="str">
        <f>P8</f>
        <v>QR Code 1</v>
      </c>
      <c r="T8" s="634"/>
    </row>
    <row r="9" spans="1:22" ht="69.75" customHeight="1" x14ac:dyDescent="0.2">
      <c r="A9" s="322" t="s">
        <v>118</v>
      </c>
      <c r="G9" s="322" t="e">
        <f>#REF!</f>
        <v>#REF!</v>
      </c>
      <c r="H9" s="322" t="s">
        <v>198</v>
      </c>
      <c r="L9" s="326" t="s">
        <v>256</v>
      </c>
      <c r="N9" s="632"/>
      <c r="O9" s="632"/>
    </row>
    <row r="10" spans="1:22" ht="69.75" customHeight="1" x14ac:dyDescent="0.2">
      <c r="A10" s="322" t="s">
        <v>105</v>
      </c>
      <c r="G10" s="322" t="e">
        <f>#REF!</f>
        <v>#REF!</v>
      </c>
      <c r="H10" s="322" t="s">
        <v>334</v>
      </c>
      <c r="L10" s="326" t="s">
        <v>257</v>
      </c>
      <c r="N10" s="633"/>
      <c r="O10" s="633"/>
      <c r="P10" s="254" t="s">
        <v>258</v>
      </c>
    </row>
    <row r="11" spans="1:22" ht="69.75" customHeight="1" x14ac:dyDescent="0.2">
      <c r="A11" s="322" t="s">
        <v>171</v>
      </c>
      <c r="G11" s="322" t="e">
        <f>#REF!</f>
        <v>#REF!</v>
      </c>
      <c r="H11" s="322" t="s">
        <v>213</v>
      </c>
      <c r="L11" s="326"/>
      <c r="N11" s="633"/>
      <c r="O11" s="633"/>
    </row>
    <row r="12" spans="1:22" ht="69.75" customHeight="1" x14ac:dyDescent="0.2">
      <c r="A12" s="322" t="s">
        <v>172</v>
      </c>
      <c r="G12" s="322" t="e">
        <f>#REF!</f>
        <v>#REF!</v>
      </c>
      <c r="H12" s="322" t="s">
        <v>243</v>
      </c>
      <c r="L12" s="326"/>
      <c r="M12" s="441"/>
      <c r="N12" s="442"/>
      <c r="O12" s="442"/>
    </row>
    <row r="13" spans="1:22" ht="69.75" customHeight="1" x14ac:dyDescent="0.2">
      <c r="A13" s="322" t="s">
        <v>173</v>
      </c>
      <c r="G13" s="322" t="e">
        <f>#REF!</f>
        <v>#REF!</v>
      </c>
      <c r="H13" s="322" t="s">
        <v>260</v>
      </c>
      <c r="L13" s="636" t="s">
        <v>379</v>
      </c>
      <c r="M13" s="440" t="s">
        <v>210</v>
      </c>
      <c r="N13" s="637"/>
      <c r="O13" s="637"/>
      <c r="P13" s="204" t="e">
        <f>#REF!</f>
        <v>#REF!</v>
      </c>
      <c r="Q13" s="204" t="s">
        <v>367</v>
      </c>
      <c r="S13" s="465" t="s">
        <v>410</v>
      </c>
    </row>
    <row r="14" spans="1:22" ht="69.75" customHeight="1" x14ac:dyDescent="0.2">
      <c r="A14" s="322" t="s">
        <v>174</v>
      </c>
      <c r="G14" s="387" t="e">
        <f>#REF!</f>
        <v>#REF!</v>
      </c>
      <c r="H14" s="322" t="s">
        <v>302</v>
      </c>
      <c r="L14" s="636"/>
      <c r="N14" s="637"/>
      <c r="O14" s="637"/>
      <c r="P14" s="204" t="e">
        <f>#REF!</f>
        <v>#REF!</v>
      </c>
      <c r="Q14" s="204" t="s">
        <v>368</v>
      </c>
      <c r="S14" s="465" t="s">
        <v>410</v>
      </c>
    </row>
    <row r="15" spans="1:22" ht="69.75" customHeight="1" x14ac:dyDescent="0.3">
      <c r="A15" s="322" t="s">
        <v>175</v>
      </c>
      <c r="G15" s="423" t="s">
        <v>110</v>
      </c>
      <c r="H15" s="423" t="s">
        <v>305</v>
      </c>
      <c r="M15" s="441" t="s">
        <v>211</v>
      </c>
      <c r="P15" s="204" t="e">
        <f>#REF!</f>
        <v>#REF!</v>
      </c>
      <c r="Q15" s="204" t="s">
        <v>397</v>
      </c>
    </row>
    <row r="16" spans="1:22" ht="69.75" customHeight="1" x14ac:dyDescent="0.3">
      <c r="A16" s="322" t="s">
        <v>176</v>
      </c>
      <c r="G16" s="387" t="e">
        <f>#REF!</f>
        <v>#REF!</v>
      </c>
      <c r="H16" s="322" t="s">
        <v>358</v>
      </c>
      <c r="P16" s="204" t="e">
        <f>#REF!</f>
        <v>#REF!</v>
      </c>
      <c r="Q16" s="204" t="s">
        <v>398</v>
      </c>
    </row>
    <row r="17" spans="1:17" ht="69.75" customHeight="1" x14ac:dyDescent="0.3">
      <c r="A17" s="322" t="s">
        <v>177</v>
      </c>
      <c r="G17" s="387" t="e">
        <f>#REF!</f>
        <v>#REF!</v>
      </c>
      <c r="H17" s="322" t="s">
        <v>359</v>
      </c>
      <c r="P17" s="204" t="str">
        <f>+Trafik!Q11</f>
        <v>JA</v>
      </c>
      <c r="Q17" s="204" t="s">
        <v>399</v>
      </c>
    </row>
    <row r="18" spans="1:17" ht="69.75" customHeight="1" x14ac:dyDescent="0.3">
      <c r="A18" s="322" t="s">
        <v>178</v>
      </c>
      <c r="G18" s="434" t="e">
        <f>#REF!</f>
        <v>#REF!</v>
      </c>
      <c r="H18" s="322" t="s">
        <v>360</v>
      </c>
      <c r="P18" s="204" t="e">
        <f>+#REF!</f>
        <v>#REF!</v>
      </c>
      <c r="Q18" s="204" t="s">
        <v>400</v>
      </c>
    </row>
    <row r="19" spans="1:17" ht="69.75" customHeight="1" x14ac:dyDescent="0.3">
      <c r="A19" s="322" t="s">
        <v>179</v>
      </c>
      <c r="G19" s="434" t="e">
        <f>#REF!</f>
        <v>#REF!</v>
      </c>
      <c r="H19" s="322" t="s">
        <v>372</v>
      </c>
      <c r="P19" s="204" t="e">
        <f>+#REF!</f>
        <v>#REF!</v>
      </c>
      <c r="Q19" s="204" t="s">
        <v>401</v>
      </c>
    </row>
    <row r="20" spans="1:17" ht="69.75" customHeight="1" x14ac:dyDescent="0.3">
      <c r="A20" s="322" t="s">
        <v>180</v>
      </c>
      <c r="B20" s="240"/>
      <c r="G20" s="434" t="e">
        <f>#REF!</f>
        <v>#REF!</v>
      </c>
      <c r="H20" s="322" t="s">
        <v>368</v>
      </c>
      <c r="P20" s="204" t="e">
        <f>+#REF!</f>
        <v>#REF!</v>
      </c>
      <c r="Q20" s="204" t="s">
        <v>402</v>
      </c>
    </row>
    <row r="21" spans="1:17" ht="69.599999999999994" customHeight="1" x14ac:dyDescent="0.3">
      <c r="A21" s="322" t="s">
        <v>245</v>
      </c>
      <c r="B21" s="240"/>
      <c r="G21" s="434" t="e">
        <f>#REF!</f>
        <v>#REF!</v>
      </c>
      <c r="H21" s="322" t="s">
        <v>373</v>
      </c>
      <c r="P21" s="204" t="str">
        <f>+'Paper Diskont'!O11</f>
        <v>JA</v>
      </c>
      <c r="Q21" s="204" t="s">
        <v>403</v>
      </c>
    </row>
    <row r="22" spans="1:17" x14ac:dyDescent="0.3">
      <c r="G22" s="434" t="e">
        <f>#REF!</f>
        <v>#REF!</v>
      </c>
      <c r="H22" s="322" t="s">
        <v>374</v>
      </c>
      <c r="P22" s="204" t="e">
        <f>+#REF!</f>
        <v>#REF!</v>
      </c>
      <c r="Q22" s="204" t="s">
        <v>404</v>
      </c>
    </row>
    <row r="23" spans="1:17" x14ac:dyDescent="0.3">
      <c r="G23" s="434" t="e">
        <f>#REF!</f>
        <v>#REF!</v>
      </c>
      <c r="H23" s="322" t="s">
        <v>375</v>
      </c>
      <c r="P23" s="204" t="e">
        <f>+#REF!</f>
        <v>#REF!</v>
      </c>
      <c r="Q23" s="204" t="s">
        <v>405</v>
      </c>
    </row>
    <row r="24" spans="1:17" x14ac:dyDescent="0.3">
      <c r="G24" s="434" t="e">
        <f>#REF!</f>
        <v>#REF!</v>
      </c>
      <c r="H24" s="322" t="s">
        <v>376</v>
      </c>
      <c r="P24" s="204" t="e">
        <f>+#REF!</f>
        <v>#REF!</v>
      </c>
      <c r="Q24" s="204" t="s">
        <v>406</v>
      </c>
    </row>
    <row r="25" spans="1:17" x14ac:dyDescent="0.3">
      <c r="G25" s="434" t="e">
        <f>#REF!</f>
        <v>#REF!</v>
      </c>
      <c r="H25" s="322" t="s">
        <v>377</v>
      </c>
      <c r="P25" s="204" t="e">
        <f>+#REF!</f>
        <v>#REF!</v>
      </c>
      <c r="Q25" s="204" t="s">
        <v>407</v>
      </c>
    </row>
    <row r="26" spans="1:17" x14ac:dyDescent="0.3">
      <c r="P26" s="204" t="e">
        <f>#REF!</f>
        <v>#REF!</v>
      </c>
      <c r="Q26" s="204" t="s">
        <v>408</v>
      </c>
    </row>
    <row r="27" spans="1:17" x14ac:dyDescent="0.3">
      <c r="P27" s="204" t="str">
        <f>Maut!$N$11</f>
        <v>JA</v>
      </c>
      <c r="Q27" s="204" t="s">
        <v>409</v>
      </c>
    </row>
    <row r="28" spans="1:17" x14ac:dyDescent="0.3">
      <c r="P28" s="204" t="e">
        <f>#REF!</f>
        <v>#REF!</v>
      </c>
      <c r="Q28" s="204" t="s">
        <v>411</v>
      </c>
    </row>
    <row r="29" spans="1:17" x14ac:dyDescent="0.3">
      <c r="G29" s="323" t="s">
        <v>337</v>
      </c>
      <c r="P29" s="204" t="e">
        <f>#REF!</f>
        <v>#REF!</v>
      </c>
      <c r="Q29" s="204" t="s">
        <v>372</v>
      </c>
    </row>
    <row r="30" spans="1:17" x14ac:dyDescent="0.3">
      <c r="P30" s="204" t="e">
        <f>#REF!</f>
        <v>#REF!</v>
      </c>
      <c r="Q30" s="204" t="s">
        <v>412</v>
      </c>
    </row>
    <row r="31" spans="1:17" x14ac:dyDescent="0.3">
      <c r="P31" s="204" t="e">
        <f>#REF!</f>
        <v>#REF!</v>
      </c>
      <c r="Q31" s="204" t="s">
        <v>413</v>
      </c>
    </row>
    <row r="32" spans="1:17" x14ac:dyDescent="0.3">
      <c r="P32" s="204" t="e">
        <f>#REF!</f>
        <v>#REF!</v>
      </c>
      <c r="Q32" s="204" t="s">
        <v>414</v>
      </c>
    </row>
    <row r="33" spans="16:17" x14ac:dyDescent="0.3">
      <c r="P33" s="204" t="e">
        <f>#REF!</f>
        <v>#REF!</v>
      </c>
      <c r="Q33" s="204" t="s">
        <v>415</v>
      </c>
    </row>
    <row r="34" spans="16:17" x14ac:dyDescent="0.3">
      <c r="P34" s="204" t="e">
        <f>+#REF!</f>
        <v>#REF!</v>
      </c>
      <c r="Q34" s="204" t="s">
        <v>416</v>
      </c>
    </row>
    <row r="35" spans="16:17" x14ac:dyDescent="0.3">
      <c r="P35" s="204" t="e">
        <f>#REF!</f>
        <v>#REF!</v>
      </c>
      <c r="Q35" s="204" t="s">
        <v>418</v>
      </c>
    </row>
    <row r="36" spans="16:17" x14ac:dyDescent="0.3">
      <c r="P36" s="204"/>
      <c r="Q36" s="204"/>
    </row>
    <row r="37" spans="16:17" x14ac:dyDescent="0.3">
      <c r="P37" s="204"/>
      <c r="Q37" s="204"/>
    </row>
    <row r="38" spans="16:17" x14ac:dyDescent="0.3">
      <c r="P38" s="204"/>
      <c r="Q38" s="204"/>
    </row>
    <row r="39" spans="16:17" x14ac:dyDescent="0.3">
      <c r="P39" s="204"/>
      <c r="Q39" s="204"/>
    </row>
    <row r="40" spans="16:17" x14ac:dyDescent="0.3">
      <c r="P40" s="204"/>
      <c r="Q40" s="204"/>
    </row>
    <row r="41" spans="16:17" x14ac:dyDescent="0.3">
      <c r="P41" s="204"/>
      <c r="Q41" s="204"/>
    </row>
    <row r="42" spans="16:17" x14ac:dyDescent="0.3">
      <c r="P42" s="204"/>
      <c r="Q42" s="204"/>
    </row>
    <row r="43" spans="16:17" x14ac:dyDescent="0.3">
      <c r="P43" s="204"/>
      <c r="Q43" s="204"/>
    </row>
    <row r="44" spans="16:17" x14ac:dyDescent="0.3">
      <c r="P44" s="204"/>
      <c r="Q44" s="204"/>
    </row>
    <row r="45" spans="16:17" x14ac:dyDescent="0.3">
      <c r="P45" s="204"/>
      <c r="Q45" s="204"/>
    </row>
    <row r="46" spans="16:17" x14ac:dyDescent="0.3">
      <c r="P46" s="204"/>
      <c r="Q46" s="204"/>
    </row>
    <row r="47" spans="16:17" x14ac:dyDescent="0.3">
      <c r="P47" s="204"/>
      <c r="Q47" s="204"/>
    </row>
    <row r="48" spans="16:17" x14ac:dyDescent="0.3">
      <c r="P48" s="204"/>
      <c r="Q48" s="204"/>
    </row>
    <row r="49" spans="16:17" x14ac:dyDescent="0.3">
      <c r="P49" s="204"/>
      <c r="Q49" s="204"/>
    </row>
    <row r="50" spans="16:17" x14ac:dyDescent="0.3">
      <c r="P50" s="204"/>
      <c r="Q50" s="204"/>
    </row>
    <row r="51" spans="16:17" x14ac:dyDescent="0.3">
      <c r="P51" s="204"/>
      <c r="Q51" s="204"/>
    </row>
    <row r="52" spans="16:17" x14ac:dyDescent="0.3">
      <c r="P52" s="204"/>
      <c r="Q52" s="204"/>
    </row>
    <row r="53" spans="16:17" x14ac:dyDescent="0.3">
      <c r="P53" s="204"/>
      <c r="Q53" s="204"/>
    </row>
    <row r="54" spans="16:17" x14ac:dyDescent="0.3">
      <c r="P54" s="204"/>
      <c r="Q54" s="204"/>
    </row>
    <row r="55" spans="16:17" x14ac:dyDescent="0.3">
      <c r="P55" s="204"/>
      <c r="Q55" s="204"/>
    </row>
    <row r="56" spans="16:17" x14ac:dyDescent="0.3">
      <c r="P56" s="204"/>
      <c r="Q56" s="204"/>
    </row>
    <row r="57" spans="16:17" x14ac:dyDescent="0.3">
      <c r="P57" s="204"/>
      <c r="Q57" s="204"/>
    </row>
    <row r="99" spans="7:8" x14ac:dyDescent="0.3">
      <c r="G99" s="424" t="s">
        <v>336</v>
      </c>
    </row>
    <row r="100" spans="7:8" x14ac:dyDescent="0.3">
      <c r="G100" s="629"/>
      <c r="H100" s="629"/>
    </row>
    <row r="101" spans="7:8" x14ac:dyDescent="0.3">
      <c r="G101" s="323" t="s">
        <v>110</v>
      </c>
      <c r="H101" s="323" t="s">
        <v>282</v>
      </c>
    </row>
    <row r="102" spans="7:8" x14ac:dyDescent="0.3">
      <c r="G102" s="323" t="s">
        <v>111</v>
      </c>
      <c r="H102" s="323" t="s">
        <v>283</v>
      </c>
    </row>
    <row r="103" spans="7:8" x14ac:dyDescent="0.3">
      <c r="G103" s="323" t="s">
        <v>112</v>
      </c>
      <c r="H103" s="323" t="s">
        <v>284</v>
      </c>
    </row>
    <row r="104" spans="7:8" x14ac:dyDescent="0.3">
      <c r="G104" s="323" t="s">
        <v>113</v>
      </c>
      <c r="H104" s="323" t="s">
        <v>285</v>
      </c>
    </row>
    <row r="105" spans="7:8" x14ac:dyDescent="0.3">
      <c r="G105" s="323" t="s">
        <v>114</v>
      </c>
      <c r="H105" s="323" t="s">
        <v>286</v>
      </c>
    </row>
    <row r="106" spans="7:8" x14ac:dyDescent="0.3">
      <c r="G106" s="323" t="s">
        <v>115</v>
      </c>
      <c r="H106" s="323" t="s">
        <v>287</v>
      </c>
    </row>
    <row r="107" spans="7:8" x14ac:dyDescent="0.3">
      <c r="G107" s="323" t="s">
        <v>116</v>
      </c>
      <c r="H107" s="323" t="s">
        <v>288</v>
      </c>
    </row>
    <row r="108" spans="7:8" x14ac:dyDescent="0.3">
      <c r="G108" s="323" t="s">
        <v>117</v>
      </c>
      <c r="H108" s="323" t="s">
        <v>289</v>
      </c>
    </row>
    <row r="109" spans="7:8" x14ac:dyDescent="0.3">
      <c r="G109" s="323" t="s">
        <v>118</v>
      </c>
      <c r="H109" s="323" t="s">
        <v>290</v>
      </c>
    </row>
    <row r="110" spans="7:8" x14ac:dyDescent="0.3">
      <c r="G110" s="323" t="s">
        <v>105</v>
      </c>
      <c r="H110" s="323" t="s">
        <v>291</v>
      </c>
    </row>
    <row r="111" spans="7:8" x14ac:dyDescent="0.3">
      <c r="G111" s="323" t="s">
        <v>171</v>
      </c>
      <c r="H111" s="323" t="s">
        <v>292</v>
      </c>
    </row>
    <row r="112" spans="7:8" x14ac:dyDescent="0.3">
      <c r="G112" s="323" t="s">
        <v>172</v>
      </c>
      <c r="H112" s="323" t="s">
        <v>293</v>
      </c>
    </row>
    <row r="113" spans="7:8" x14ac:dyDescent="0.3">
      <c r="G113" s="323" t="s">
        <v>173</v>
      </c>
      <c r="H113" s="323" t="s">
        <v>294</v>
      </c>
    </row>
    <row r="114" spans="7:8" x14ac:dyDescent="0.3">
      <c r="G114" s="323" t="s">
        <v>174</v>
      </c>
      <c r="H114" s="323" t="s">
        <v>295</v>
      </c>
    </row>
    <row r="115" spans="7:8" x14ac:dyDescent="0.3">
      <c r="G115" s="323" t="s">
        <v>175</v>
      </c>
      <c r="H115" s="323" t="s">
        <v>296</v>
      </c>
    </row>
    <row r="116" spans="7:8" x14ac:dyDescent="0.3">
      <c r="G116" s="323" t="s">
        <v>176</v>
      </c>
      <c r="H116" s="323" t="s">
        <v>297</v>
      </c>
    </row>
    <row r="117" spans="7:8" x14ac:dyDescent="0.3">
      <c r="G117" s="323" t="s">
        <v>177</v>
      </c>
      <c r="H117" s="323" t="s">
        <v>298</v>
      </c>
    </row>
    <row r="118" spans="7:8" x14ac:dyDescent="0.3">
      <c r="G118" s="323" t="s">
        <v>178</v>
      </c>
      <c r="H118" s="323" t="s">
        <v>299</v>
      </c>
    </row>
    <row r="119" spans="7:8" x14ac:dyDescent="0.3">
      <c r="G119" s="323" t="s">
        <v>179</v>
      </c>
      <c r="H119" s="323" t="s">
        <v>300</v>
      </c>
    </row>
    <row r="120" spans="7:8" x14ac:dyDescent="0.3">
      <c r="G120" s="323" t="s">
        <v>180</v>
      </c>
      <c r="H120" s="323" t="s">
        <v>301</v>
      </c>
    </row>
  </sheetData>
  <mergeCells count="11">
    <mergeCell ref="G100:H100"/>
    <mergeCell ref="P1:V1"/>
    <mergeCell ref="P2:T2"/>
    <mergeCell ref="N8:O9"/>
    <mergeCell ref="N10:O11"/>
    <mergeCell ref="S8:T8"/>
    <mergeCell ref="P3:Q3"/>
    <mergeCell ref="P8:Q8"/>
    <mergeCell ref="L13:L14"/>
    <mergeCell ref="N13:O14"/>
    <mergeCell ref="P7:Q7"/>
  </mergeCells>
  <dataValidations count="2">
    <dataValidation type="list" allowBlank="1" showInputMessage="1" showErrorMessage="1" sqref="P3:Q3">
      <formula1>$L$1:$L$6</formula1>
    </dataValidation>
    <dataValidation type="list" allowBlank="1" showInputMessage="1" showErrorMessage="1" sqref="P8:Q8">
      <formula1>$L$9:$L$10</formula1>
    </dataValidation>
  </dataValidations>
  <pageMargins left="0.78740157499999996" right="0.78740157499999996" top="0.984251969" bottom="0.984251969" header="0.4921259845" footer="0.4921259845"/>
  <pageSetup paperSize="9" orientation="portrait" r:id="rId1"/>
  <headerFooter alignWithMargins="0"/>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81"/>
  <dimension ref="A4:B39"/>
  <sheetViews>
    <sheetView showGridLines="0" showRowColHeaders="0" workbookViewId="0">
      <selection activeCell="B26" sqref="B26"/>
    </sheetView>
  </sheetViews>
  <sheetFormatPr baseColWidth="10" defaultRowHeight="12.75" x14ac:dyDescent="0.2"/>
  <cols>
    <col min="1" max="1" width="24.140625" customWidth="1"/>
    <col min="2" max="2" width="44" bestFit="1" customWidth="1"/>
  </cols>
  <sheetData>
    <row r="4" spans="1:2" x14ac:dyDescent="0.2">
      <c r="A4" s="19" t="s">
        <v>200</v>
      </c>
      <c r="B4" s="19" t="s">
        <v>201</v>
      </c>
    </row>
    <row r="5" spans="1:2" x14ac:dyDescent="0.2">
      <c r="A5" s="207" t="s">
        <v>202</v>
      </c>
      <c r="B5" s="208"/>
    </row>
    <row r="6" spans="1:2" x14ac:dyDescent="0.2">
      <c r="A6" s="207" t="s">
        <v>421</v>
      </c>
      <c r="B6" s="207" t="s">
        <v>240</v>
      </c>
    </row>
    <row r="7" spans="1:2" x14ac:dyDescent="0.2">
      <c r="A7" s="207" t="s">
        <v>206</v>
      </c>
      <c r="B7" s="207" t="s">
        <v>206</v>
      </c>
    </row>
    <row r="8" spans="1:2" x14ac:dyDescent="0.2">
      <c r="A8" s="207" t="s">
        <v>77</v>
      </c>
      <c r="B8" s="207" t="s">
        <v>77</v>
      </c>
    </row>
    <row r="9" spans="1:2" x14ac:dyDescent="0.2">
      <c r="A9" s="207" t="s">
        <v>142</v>
      </c>
      <c r="B9" s="207" t="s">
        <v>142</v>
      </c>
    </row>
    <row r="10" spans="1:2" x14ac:dyDescent="0.2">
      <c r="A10" s="207" t="s">
        <v>151</v>
      </c>
      <c r="B10" s="207" t="s">
        <v>151</v>
      </c>
    </row>
    <row r="11" spans="1:2" x14ac:dyDescent="0.2">
      <c r="A11" s="207" t="s">
        <v>422</v>
      </c>
      <c r="B11" s="207" t="s">
        <v>204</v>
      </c>
    </row>
    <row r="12" spans="1:2" x14ac:dyDescent="0.2">
      <c r="A12" s="207" t="s">
        <v>214</v>
      </c>
      <c r="B12" s="208" t="s">
        <v>214</v>
      </c>
    </row>
    <row r="13" spans="1:2" x14ac:dyDescent="0.2">
      <c r="A13" s="208" t="s">
        <v>230</v>
      </c>
      <c r="B13" s="208" t="s">
        <v>230</v>
      </c>
    </row>
    <row r="14" spans="1:2" x14ac:dyDescent="0.2">
      <c r="A14" s="208" t="s">
        <v>361</v>
      </c>
      <c r="B14" s="208" t="s">
        <v>361</v>
      </c>
    </row>
    <row r="15" spans="1:2" x14ac:dyDescent="0.2">
      <c r="A15" s="208" t="s">
        <v>303</v>
      </c>
      <c r="B15" s="208" t="s">
        <v>303</v>
      </c>
    </row>
    <row r="16" spans="1:2" x14ac:dyDescent="0.2">
      <c r="A16" s="208" t="s">
        <v>203</v>
      </c>
      <c r="B16" s="208" t="s">
        <v>184</v>
      </c>
    </row>
    <row r="17" spans="1:2" x14ac:dyDescent="0.2">
      <c r="A17" s="208"/>
      <c r="B17" s="208"/>
    </row>
    <row r="18" spans="1:2" x14ac:dyDescent="0.2">
      <c r="A18" s="208"/>
      <c r="B18" s="208"/>
    </row>
    <row r="19" spans="1:2" x14ac:dyDescent="0.2">
      <c r="A19" s="208"/>
      <c r="B19" s="208"/>
    </row>
    <row r="20" spans="1:2" x14ac:dyDescent="0.2">
      <c r="A20" s="208"/>
      <c r="B20" s="208"/>
    </row>
    <row r="23" spans="1:2" x14ac:dyDescent="0.2">
      <c r="B23" s="11"/>
    </row>
    <row r="39" spans="2:2" x14ac:dyDescent="0.2">
      <c r="B39" s="11"/>
    </row>
  </sheetData>
  <pageMargins left="0.7" right="0.7" top="0.78740157499999996" bottom="0.78740157499999996"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3"/>
  <dimension ref="A1"/>
  <sheetViews>
    <sheetView showGridLines="0" showRowColHeaders="0" workbookViewId="0">
      <selection activeCell="Q44" sqref="Q43:Q44"/>
    </sheetView>
  </sheetViews>
  <sheetFormatPr baseColWidth="10" defaultRowHeight="12.75" x14ac:dyDescent="0.2"/>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12</vt:i4>
      </vt:variant>
      <vt:variant>
        <vt:lpstr>Benannte Bereiche</vt:lpstr>
      </vt:variant>
      <vt:variant>
        <vt:i4>32</vt:i4>
      </vt:variant>
    </vt:vector>
  </HeadingPairs>
  <TitlesOfParts>
    <vt:vector size="44" baseType="lpstr">
      <vt:lpstr>Belegverwaltung</vt:lpstr>
      <vt:lpstr>EMS</vt:lpstr>
      <vt:lpstr>Trafik</vt:lpstr>
      <vt:lpstr>Kassa EIN-AUS</vt:lpstr>
      <vt:lpstr>Paper Diskont</vt:lpstr>
      <vt:lpstr>Bank EIN-AUS</vt:lpstr>
      <vt:lpstr>ZA allg.</vt:lpstr>
      <vt:lpstr>Maut</vt:lpstr>
      <vt:lpstr>Kassablock</vt:lpstr>
      <vt:lpstr>Logoübersicht</vt:lpstr>
      <vt:lpstr>Hilfe</vt:lpstr>
      <vt:lpstr>Kontakt und Impressum</vt:lpstr>
      <vt:lpstr>Belegart_AR</vt:lpstr>
      <vt:lpstr>Belegart_ER</vt:lpstr>
      <vt:lpstr>Belegauswahl</vt:lpstr>
      <vt:lpstr>Belegauswahl_Anz.</vt:lpstr>
      <vt:lpstr>Berichtsart</vt:lpstr>
      <vt:lpstr>Bezugsart_LV</vt:lpstr>
      <vt:lpstr>Bild_Namen</vt:lpstr>
      <vt:lpstr>'Bank EIN-AUS'!Druckbereich</vt:lpstr>
      <vt:lpstr>Belegverwaltung!Druckbereich</vt:lpstr>
      <vt:lpstr>EMS!Druckbereich</vt:lpstr>
      <vt:lpstr>Hilfe!Druckbereich</vt:lpstr>
      <vt:lpstr>'Kassa EIN-AUS'!Druckbereich</vt:lpstr>
      <vt:lpstr>Kassablock!Druckbereich</vt:lpstr>
      <vt:lpstr>'Kontakt und Impressum'!Druckbereich</vt:lpstr>
      <vt:lpstr>Logoübersicht!Druckbereich</vt:lpstr>
      <vt:lpstr>Maut!Druckbereich</vt:lpstr>
      <vt:lpstr>'Paper Diskont'!Druckbereich</vt:lpstr>
      <vt:lpstr>'ZA allg.'!Druckbereich</vt:lpstr>
      <vt:lpstr>Privat</vt:lpstr>
      <vt:lpstr>QR_Code_Anzeige</vt:lpstr>
      <vt:lpstr>Tageslosung_Auswahl</vt:lpstr>
      <vt:lpstr>TST</vt:lpstr>
      <vt:lpstr>USt_Ausweis</vt:lpstr>
      <vt:lpstr>USt_Gasthaus</vt:lpstr>
      <vt:lpstr>USt_Hotel</vt:lpstr>
      <vt:lpstr>USt_ohne_10</vt:lpstr>
      <vt:lpstr>USt_Taxi</vt:lpstr>
      <vt:lpstr>USt_vollständig</vt:lpstr>
      <vt:lpstr>Zahlungsart</vt:lpstr>
      <vt:lpstr>Zahlungsart_BK</vt:lpstr>
      <vt:lpstr>Zahlungsarten_alle</vt:lpstr>
      <vt:lpstr>Zahlungsarten_sofort</vt:lpstr>
    </vt:vector>
  </TitlesOfParts>
  <Company>R@mses Internet Consulting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Silke</dc:creator>
  <cp:lastModifiedBy>Silke Ramsenthaler</cp:lastModifiedBy>
  <cp:lastPrinted>2020-06-12T10:00:11Z</cp:lastPrinted>
  <dcterms:created xsi:type="dcterms:W3CDTF">2001-07-17T12:27:38Z</dcterms:created>
  <dcterms:modified xsi:type="dcterms:W3CDTF">2020-06-19T09:47:08Z</dcterms:modified>
  <cp:contentStatus/>
</cp:coreProperties>
</file>