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mc:AlternateContent xmlns:mc="http://schemas.openxmlformats.org/markup-compatibility/2006">
    <mc:Choice Requires="x15">
      <x15ac:absPath xmlns:x15ac="http://schemas.microsoft.com/office/spreadsheetml/2010/11/ac" url="E:\Back-up4.7.2023-SCHOOL,PRIVATE,IRISH\SCHOOL\Hölzel Verlag\Beitrag1-ForeignCurrencies\final-CrannToys\korrekturlesen\"/>
    </mc:Choice>
  </mc:AlternateContent>
  <xr:revisionPtr revIDLastSave="0" documentId="13_ncr:1_{E39B9816-AB03-4E69-888E-43960C0DD95E}" xr6:coauthVersionLast="47" xr6:coauthVersionMax="47" xr10:uidLastSave="{00000000-0000-0000-0000-000000000000}"/>
  <bookViews>
    <workbookView xWindow="6468" yWindow="120" windowWidth="16212" windowHeight="8880" firstSheet="11" activeTab="12" xr2:uid="{00000000-000D-0000-FFFF-FFFF00000000}"/>
  </bookViews>
  <sheets>
    <sheet name="Information" sheetId="2" r:id="rId1"/>
    <sheet name="Order" sheetId="19" r:id="rId2"/>
    <sheet name="PurInv-NOVATNoCustQuantWrong " sheetId="17" r:id="rId3"/>
    <sheet name="PurchaseInvoice-correct" sheetId="1" r:id="rId4"/>
    <sheet name="SalesInvoice" sheetId="10" r:id="rId5"/>
    <sheet name="Transport CostsPur" sheetId="6" r:id="rId6"/>
    <sheet name="Transport CostsSale" sheetId="11" r:id="rId7"/>
    <sheet name="Bank Statement-noInfo" sheetId="15" r:id="rId8"/>
    <sheet name="Payslip-incoming" sheetId="12" r:id="rId9"/>
    <sheet name="Payslip-outgoing-purchase" sheetId="9" r:id="rId10"/>
    <sheet name="Payslip-outgoing-transportSALE" sheetId="13" r:id="rId11"/>
    <sheet name="Payslip-outgoing-transportPUR" sheetId="8" r:id="rId12"/>
    <sheet name="Solution" sheetId="5" r:id="rId13"/>
  </sheets>
  <definedNames>
    <definedName name="_xlnm.Print_Area" localSheetId="3">'PurchaseInvoice-correct'!$A$1:$O$57</definedName>
    <definedName name="_xlnm.Print_Area" localSheetId="2">'PurInv-NOVATNoCustQuantWrong '!$A$1:$O$57</definedName>
  </definedNames>
  <calcPr calcId="191029"/>
</workbook>
</file>

<file path=xl/calcChain.xml><?xml version="1.0" encoding="utf-8"?>
<calcChain xmlns="http://schemas.openxmlformats.org/spreadsheetml/2006/main">
  <c r="L137" i="5" l="1"/>
  <c r="L138" i="5"/>
  <c r="J138" i="5"/>
  <c r="J137" i="5"/>
  <c r="L94" i="5"/>
  <c r="J94" i="5"/>
  <c r="L93" i="5"/>
  <c r="J93" i="5"/>
  <c r="G108" i="5"/>
  <c r="J12" i="15" l="1"/>
  <c r="M7" i="12" l="1"/>
  <c r="E17" i="6"/>
  <c r="L17" i="6" s="1"/>
  <c r="L15" i="10"/>
  <c r="L18" i="10" s="1"/>
  <c r="L18" i="1"/>
  <c r="L14" i="19" l="1"/>
  <c r="I5" i="15"/>
  <c r="C10" i="15" s="1"/>
  <c r="C8" i="15"/>
  <c r="C9" i="15"/>
  <c r="C13" i="15" l="1"/>
  <c r="C11" i="15"/>
  <c r="N146" i="5" l="1"/>
  <c r="L146" i="5"/>
  <c r="F131" i="5"/>
  <c r="E131" i="5"/>
  <c r="F116" i="5"/>
  <c r="E116" i="5"/>
  <c r="F115" i="5"/>
  <c r="E115" i="5"/>
  <c r="F63" i="5"/>
  <c r="E63" i="5"/>
  <c r="F48" i="5"/>
  <c r="E48" i="5"/>
  <c r="N43" i="5"/>
  <c r="L43" i="5"/>
  <c r="F43" i="5"/>
  <c r="E43" i="5"/>
  <c r="N79" i="5"/>
  <c r="L79" i="5"/>
  <c r="G53" i="1" l="1"/>
  <c r="F53" i="1"/>
  <c r="G53" i="17"/>
  <c r="F53" i="17"/>
  <c r="H8" i="15"/>
  <c r="L24" i="6"/>
  <c r="L21" i="6"/>
  <c r="M13" i="9" l="1"/>
  <c r="V22" i="10"/>
  <c r="Q8" i="10"/>
  <c r="W23" i="1"/>
  <c r="Y23" i="17"/>
  <c r="C146" i="5"/>
  <c r="D115" i="5"/>
  <c r="D120" i="5" s="1"/>
  <c r="D103" i="5"/>
  <c r="D62" i="5"/>
  <c r="D146" i="5" s="1"/>
  <c r="E23" i="9"/>
  <c r="E81" i="2"/>
  <c r="L48" i="5" s="1"/>
  <c r="B81" i="2"/>
  <c r="N48" i="5" s="1"/>
  <c r="B49" i="2"/>
  <c r="C47" i="2"/>
  <c r="B68" i="2"/>
  <c r="L18" i="17" l="1"/>
  <c r="C30" i="19" l="1"/>
  <c r="D12" i="19"/>
  <c r="D35" i="19"/>
  <c r="I20" i="19"/>
  <c r="I19" i="19"/>
  <c r="H23" i="19"/>
  <c r="K23" i="19"/>
  <c r="K20" i="19"/>
  <c r="K19" i="19"/>
  <c r="D20" i="19"/>
  <c r="C20" i="19"/>
  <c r="D19" i="19"/>
  <c r="C19" i="19"/>
  <c r="C11" i="19"/>
  <c r="C9" i="19"/>
  <c r="C10" i="19"/>
  <c r="K36" i="19"/>
  <c r="H36" i="19"/>
  <c r="K35" i="19"/>
  <c r="C34" i="19"/>
  <c r="C12" i="19"/>
  <c r="K6" i="19"/>
  <c r="J6" i="19"/>
  <c r="H6" i="19"/>
  <c r="G6" i="19"/>
  <c r="D6" i="19"/>
  <c r="C6" i="19"/>
  <c r="H5" i="19"/>
  <c r="E5" i="19"/>
  <c r="C5" i="19"/>
  <c r="C4" i="19"/>
  <c r="G55" i="17"/>
  <c r="D55" i="17"/>
  <c r="D54" i="17"/>
  <c r="E50" i="17"/>
  <c r="K44" i="17"/>
  <c r="K40" i="17"/>
  <c r="L39" i="17"/>
  <c r="L38" i="17"/>
  <c r="L37" i="17"/>
  <c r="L33" i="17"/>
  <c r="L32" i="17"/>
  <c r="L31" i="17"/>
  <c r="L30" i="17"/>
  <c r="Y24" i="17"/>
  <c r="X24" i="17"/>
  <c r="AA21" i="17"/>
  <c r="W19" i="17"/>
  <c r="L19" i="17"/>
  <c r="Y16" i="17"/>
  <c r="X16" i="17"/>
  <c r="C15" i="17"/>
  <c r="C14" i="17"/>
  <c r="C13" i="17"/>
  <c r="K9" i="17"/>
  <c r="J9" i="17"/>
  <c r="K8" i="17"/>
  <c r="J8" i="17"/>
  <c r="K7" i="17"/>
  <c r="J7" i="17"/>
  <c r="J6" i="17"/>
  <c r="J5" i="17"/>
  <c r="J4" i="17"/>
  <c r="M22" i="1"/>
  <c r="H23" i="9"/>
  <c r="G22" i="9"/>
  <c r="J20" i="9"/>
  <c r="G20" i="9"/>
  <c r="L20" i="9" s="1"/>
  <c r="I10" i="15"/>
  <c r="G10" i="15"/>
  <c r="E21" i="12"/>
  <c r="K21" i="12" s="1"/>
  <c r="L19" i="12"/>
  <c r="L18" i="12"/>
  <c r="H21" i="12"/>
  <c r="I21" i="12" s="1"/>
  <c r="H12" i="15"/>
  <c r="H11" i="15"/>
  <c r="F11" i="15"/>
  <c r="C19" i="15"/>
  <c r="C18" i="15"/>
  <c r="C17" i="15"/>
  <c r="I13" i="15"/>
  <c r="F13" i="15"/>
  <c r="J11" i="15"/>
  <c r="F10" i="15"/>
  <c r="O9" i="15"/>
  <c r="M5" i="15"/>
  <c r="M4" i="15"/>
  <c r="E68" i="2"/>
  <c r="D15" i="5"/>
  <c r="D30" i="5" s="1"/>
  <c r="D48" i="5" s="1"/>
  <c r="K6" i="10"/>
  <c r="J6" i="10"/>
  <c r="X8" i="10"/>
  <c r="F18" i="10"/>
  <c r="G20" i="12" s="1"/>
  <c r="E26" i="9" l="1"/>
  <c r="B62" i="5"/>
  <c r="G11" i="15"/>
  <c r="L40" i="17"/>
  <c r="L44" i="17" s="1"/>
  <c r="M9" i="15"/>
  <c r="C178" i="2"/>
  <c r="M13" i="15" l="1"/>
  <c r="E25" i="13"/>
  <c r="M10" i="15"/>
  <c r="E25" i="8"/>
  <c r="E26" i="12"/>
  <c r="B103" i="5"/>
  <c r="B146" i="5"/>
  <c r="B115" i="5"/>
  <c r="M11" i="15"/>
  <c r="M8" i="15"/>
  <c r="D156" i="2"/>
  <c r="D155" i="2"/>
  <c r="D145" i="2"/>
  <c r="C148" i="2" s="1"/>
  <c r="E50" i="1" l="1"/>
  <c r="K24" i="19" s="1"/>
  <c r="D60" i="2" l="1"/>
  <c r="E54" i="17" s="1"/>
  <c r="J4" i="1"/>
  <c r="C8" i="19" l="1"/>
  <c r="J3" i="17"/>
  <c r="D8" i="15"/>
  <c r="F23" i="11"/>
  <c r="D27" i="11"/>
  <c r="K40" i="10"/>
  <c r="H40" i="10"/>
  <c r="K39" i="10"/>
  <c r="E39" i="10"/>
  <c r="C38" i="10"/>
  <c r="C95" i="2"/>
  <c r="B98" i="2"/>
  <c r="D10" i="15"/>
  <c r="H6" i="10"/>
  <c r="G6" i="10"/>
  <c r="D6" i="10"/>
  <c r="C6" i="10"/>
  <c r="H5" i="10"/>
  <c r="E5" i="10"/>
  <c r="T11" i="10" l="1"/>
  <c r="H22" i="10" s="1"/>
  <c r="L22" i="10" s="1"/>
  <c r="L112" i="5"/>
  <c r="W16" i="1"/>
  <c r="W24" i="1"/>
  <c r="O20" i="9" s="1"/>
  <c r="G55" i="5" s="1"/>
  <c r="U15" i="10"/>
  <c r="U23" i="10"/>
  <c r="E37" i="11"/>
  <c r="D11" i="10"/>
  <c r="M18" i="11" l="1"/>
  <c r="E35" i="6"/>
  <c r="C43" i="5" l="1"/>
  <c r="F139" i="5" l="1"/>
  <c r="F138" i="5"/>
  <c r="F137" i="5"/>
  <c r="G128" i="5"/>
  <c r="Q122" i="5"/>
  <c r="K122" i="5"/>
  <c r="K120" i="5"/>
  <c r="F122" i="5"/>
  <c r="E122" i="5"/>
  <c r="F120" i="5"/>
  <c r="E120" i="5"/>
  <c r="J116" i="5"/>
  <c r="P122" i="5" s="1"/>
  <c r="I109" i="5"/>
  <c r="C131" i="5"/>
  <c r="F146" i="5"/>
  <c r="E146" i="5"/>
  <c r="W8" i="10"/>
  <c r="U8" i="10"/>
  <c r="S8" i="10"/>
  <c r="N131" i="5" s="1"/>
  <c r="L131" i="5"/>
  <c r="G39" i="5"/>
  <c r="C141" i="5" l="1"/>
  <c r="L110" i="5"/>
  <c r="C120" i="5"/>
  <c r="L115" i="5"/>
  <c r="C122" i="5"/>
  <c r="N115" i="5"/>
  <c r="I129" i="5" l="1"/>
  <c r="N122" i="5"/>
  <c r="N120" i="5"/>
  <c r="L122" i="5"/>
  <c r="L120" i="5"/>
  <c r="F21" i="13" l="1"/>
  <c r="E21" i="13"/>
  <c r="E20" i="13"/>
  <c r="E17" i="13"/>
  <c r="E26" i="13"/>
  <c r="G13" i="13"/>
  <c r="E13" i="13"/>
  <c r="E18" i="12" l="1"/>
  <c r="H13" i="12"/>
  <c r="E13" i="12"/>
  <c r="M13" i="12"/>
  <c r="L24" i="10" l="1"/>
  <c r="G36" i="6"/>
  <c r="D36" i="6"/>
  <c r="J8" i="6"/>
  <c r="G8" i="6"/>
  <c r="K9" i="6"/>
  <c r="G9" i="6"/>
  <c r="F8" i="6"/>
  <c r="I7" i="6"/>
  <c r="G7" i="6"/>
  <c r="F7" i="6"/>
  <c r="G38" i="11"/>
  <c r="H18" i="13" s="1"/>
  <c r="D38" i="11"/>
  <c r="E18" i="13" s="1"/>
  <c r="K9" i="11"/>
  <c r="G9" i="11"/>
  <c r="G8" i="11"/>
  <c r="F8" i="11"/>
  <c r="I7" i="11"/>
  <c r="G7" i="11"/>
  <c r="F7" i="11"/>
  <c r="D5" i="11"/>
  <c r="D13" i="15" s="1"/>
  <c r="J23" i="11"/>
  <c r="M23" i="11" s="1"/>
  <c r="D16" i="11"/>
  <c r="D17" i="11"/>
  <c r="D24" i="11" s="1"/>
  <c r="D14" i="11"/>
  <c r="D23" i="11" s="1"/>
  <c r="L16" i="10"/>
  <c r="T23" i="10"/>
  <c r="T15" i="10"/>
  <c r="R12" i="10"/>
  <c r="H21" i="10"/>
  <c r="K22" i="10" s="1"/>
  <c r="E13" i="10"/>
  <c r="C13" i="10"/>
  <c r="C9" i="10"/>
  <c r="D11" i="15" s="1"/>
  <c r="C10" i="10"/>
  <c r="L17" i="11" s="1"/>
  <c r="C11" i="10"/>
  <c r="C12" i="10"/>
  <c r="G17" i="12" s="1"/>
  <c r="D8" i="10"/>
  <c r="C8" i="10"/>
  <c r="C5" i="10"/>
  <c r="C4" i="10"/>
  <c r="M27" i="11"/>
  <c r="M26" i="11"/>
  <c r="M25" i="11"/>
  <c r="M24" i="11"/>
  <c r="L18" i="11" l="1"/>
  <c r="F17" i="12"/>
  <c r="K25" i="10"/>
  <c r="K24" i="10"/>
  <c r="K26" i="10"/>
  <c r="K27" i="10"/>
  <c r="K28" i="10"/>
  <c r="F38" i="5" s="1"/>
  <c r="F109" i="5" s="1"/>
  <c r="M32" i="11"/>
  <c r="M33" i="11" s="1"/>
  <c r="M34" i="11" s="1"/>
  <c r="O13" i="15" s="1"/>
  <c r="B43" i="5"/>
  <c r="D141" i="5"/>
  <c r="B79" i="5"/>
  <c r="B97" i="5"/>
  <c r="B85" i="5"/>
  <c r="B122" i="5"/>
  <c r="B131" i="5"/>
  <c r="B120" i="5"/>
  <c r="B141" i="5"/>
  <c r="K17" i="11"/>
  <c r="D26" i="11" s="1"/>
  <c r="E17" i="12"/>
  <c r="E27" i="12" s="1"/>
  <c r="E19" i="11"/>
  <c r="L25" i="10"/>
  <c r="L26" i="10" s="1"/>
  <c r="L28" i="10" s="1"/>
  <c r="I19" i="5"/>
  <c r="D54" i="1"/>
  <c r="E54" i="1"/>
  <c r="G55" i="1"/>
  <c r="J18" i="9" s="1"/>
  <c r="D55" i="1"/>
  <c r="E18" i="9" s="1"/>
  <c r="E19" i="12" l="1"/>
  <c r="O11" i="15"/>
  <c r="O18" i="15" s="1"/>
  <c r="F21" i="12"/>
  <c r="L21" i="12" s="1"/>
  <c r="F127" i="5"/>
  <c r="D131" i="5"/>
  <c r="G38" i="5"/>
  <c r="P48" i="5"/>
  <c r="P146" i="5" s="1"/>
  <c r="K19" i="11"/>
  <c r="B48" i="5"/>
  <c r="D122" i="5"/>
  <c r="I26" i="12"/>
  <c r="E19" i="13"/>
  <c r="F20" i="9"/>
  <c r="G8" i="15" s="1"/>
  <c r="E20" i="9"/>
  <c r="F8" i="15" s="1"/>
  <c r="E27" i="9"/>
  <c r="H13" i="9"/>
  <c r="E13" i="9"/>
  <c r="G109" i="5" l="1"/>
  <c r="G40" i="5"/>
  <c r="J115" i="5"/>
  <c r="P120" i="5" s="1"/>
  <c r="G138" i="5"/>
  <c r="L26" i="6"/>
  <c r="L27" i="6"/>
  <c r="K7" i="1"/>
  <c r="K8" i="1"/>
  <c r="K9" i="1"/>
  <c r="J3" i="1"/>
  <c r="E17" i="9" s="1"/>
  <c r="J5" i="1"/>
  <c r="J6" i="1"/>
  <c r="J7" i="1"/>
  <c r="J8" i="1"/>
  <c r="J9" i="1"/>
  <c r="F141" i="5" l="1"/>
  <c r="E141" i="5"/>
  <c r="N141" i="5"/>
  <c r="L141" i="5"/>
  <c r="P43" i="5"/>
  <c r="G137" i="5"/>
  <c r="G127" i="5"/>
  <c r="L109" i="5"/>
  <c r="L111" i="5" s="1"/>
  <c r="D69" i="5"/>
  <c r="C79" i="5"/>
  <c r="P115" i="5" l="1"/>
  <c r="L113" i="5"/>
  <c r="Q141" i="5"/>
  <c r="H139" i="5"/>
  <c r="G129" i="5"/>
  <c r="L129" i="5" s="1"/>
  <c r="P131" i="5" s="1"/>
  <c r="G139" i="5"/>
  <c r="P141" i="5" s="1"/>
  <c r="D79" i="5"/>
  <c r="D85" i="5"/>
  <c r="D67" i="5"/>
  <c r="C69" i="5"/>
  <c r="C85" i="5"/>
  <c r="C67" i="5"/>
  <c r="F21" i="8"/>
  <c r="I76" i="5" l="1"/>
  <c r="E26" i="8" l="1"/>
  <c r="E21" i="8"/>
  <c r="E20" i="8"/>
  <c r="H18" i="8"/>
  <c r="E18" i="8"/>
  <c r="E17" i="8"/>
  <c r="G13" i="8"/>
  <c r="E13" i="8"/>
  <c r="G30" i="5" l="1"/>
  <c r="E30" i="5"/>
  <c r="F15" i="5"/>
  <c r="E15" i="5"/>
  <c r="K44" i="1"/>
  <c r="K40" i="1"/>
  <c r="L30" i="5" l="1"/>
  <c r="E103" i="5" s="1"/>
  <c r="N30" i="5"/>
  <c r="G103" i="5" s="1"/>
  <c r="G31" i="5"/>
  <c r="E31" i="5"/>
  <c r="N103" i="5" l="1"/>
  <c r="L103" i="5"/>
  <c r="K16" i="6"/>
  <c r="D15" i="6"/>
  <c r="D14" i="6"/>
  <c r="D13" i="6"/>
  <c r="N15" i="5"/>
  <c r="F62" i="5" s="1"/>
  <c r="L15" i="5"/>
  <c r="E62" i="5" s="1"/>
  <c r="E79" i="5" s="1"/>
  <c r="G75" i="5"/>
  <c r="M76" i="5"/>
  <c r="I82" i="5" s="1"/>
  <c r="F22" i="5"/>
  <c r="N85" i="5" s="1"/>
  <c r="E22" i="5"/>
  <c r="L85" i="5" s="1"/>
  <c r="N22" i="5"/>
  <c r="F85" i="5" s="1"/>
  <c r="L22" i="5"/>
  <c r="E85" i="5" s="1"/>
  <c r="G11" i="5"/>
  <c r="L19" i="1"/>
  <c r="L20" i="1" s="1"/>
  <c r="L20" i="17" s="1"/>
  <c r="F10" i="5"/>
  <c r="F56" i="5" s="1"/>
  <c r="I56" i="5"/>
  <c r="I63" i="5"/>
  <c r="I69" i="5" s="1"/>
  <c r="F69" i="5"/>
  <c r="N62" i="5"/>
  <c r="N69" i="5" s="1"/>
  <c r="L62" i="5"/>
  <c r="L69" i="5" s="1"/>
  <c r="C15" i="5"/>
  <c r="F95" i="5"/>
  <c r="F94" i="5"/>
  <c r="F93" i="5"/>
  <c r="K69" i="5"/>
  <c r="E69" i="5"/>
  <c r="K67" i="5"/>
  <c r="J58" i="5"/>
  <c r="J57" i="5"/>
  <c r="U19" i="1"/>
  <c r="V24" i="1"/>
  <c r="Y21" i="1"/>
  <c r="V16" i="1"/>
  <c r="C15" i="1"/>
  <c r="C14" i="1"/>
  <c r="C13" i="1"/>
  <c r="L30" i="1"/>
  <c r="L19" i="19" s="1"/>
  <c r="L31" i="1"/>
  <c r="L32" i="1"/>
  <c r="L33" i="1"/>
  <c r="L20" i="19" s="1"/>
  <c r="L37" i="1"/>
  <c r="L38" i="1"/>
  <c r="L39" i="1"/>
  <c r="B30" i="5" l="1"/>
  <c r="B22" i="5"/>
  <c r="L40" i="1"/>
  <c r="L44" i="1" s="1"/>
  <c r="O8" i="15" s="1"/>
  <c r="I13" i="8" s="1"/>
  <c r="L28" i="6"/>
  <c r="L29" i="6" s="1"/>
  <c r="L30" i="6" s="1"/>
  <c r="O10" i="15" s="1"/>
  <c r="L67" i="5"/>
  <c r="F76" i="5"/>
  <c r="P69" i="5"/>
  <c r="F67" i="5"/>
  <c r="F79" i="5"/>
  <c r="B67" i="5"/>
  <c r="B69" i="5"/>
  <c r="E67" i="5"/>
  <c r="N67" i="5"/>
  <c r="B15" i="5"/>
  <c r="I13" i="13" l="1"/>
  <c r="H20" i="9"/>
  <c r="M20" i="9" s="1"/>
  <c r="H22" i="9" s="1"/>
  <c r="H24" i="9" s="1"/>
  <c r="O20" i="15"/>
  <c r="O22" i="15" s="1"/>
  <c r="G10" i="5"/>
  <c r="G56" i="5" s="1"/>
  <c r="G93" i="5"/>
  <c r="G94" i="5"/>
  <c r="P30" i="5"/>
  <c r="J30" i="5" s="1"/>
  <c r="E19" i="8"/>
  <c r="P103" i="5"/>
  <c r="J13" i="13" l="1"/>
  <c r="E19" i="9"/>
  <c r="O13" i="9" s="1"/>
  <c r="G12" i="5"/>
  <c r="J31" i="5"/>
  <c r="G95" i="5"/>
  <c r="G74" i="5"/>
  <c r="G76" i="5" s="1"/>
  <c r="L56" i="5"/>
  <c r="P22" i="5" l="1"/>
  <c r="J19" i="5"/>
  <c r="N19" i="5" s="1"/>
  <c r="P15" i="5"/>
  <c r="G97" i="5"/>
  <c r="H95" i="5"/>
  <c r="N97" i="5"/>
  <c r="L97" i="5"/>
  <c r="P97" i="5"/>
  <c r="E97" i="5"/>
  <c r="L57" i="5"/>
  <c r="L58" i="5" s="1"/>
  <c r="N76" i="5"/>
  <c r="I62" i="5" l="1"/>
  <c r="P62" i="5" s="1"/>
  <c r="P79" i="5"/>
  <c r="J82" i="5"/>
  <c r="N82" i="5" s="1"/>
  <c r="P85" i="5" s="1"/>
  <c r="P67" i="5" l="1"/>
  <c r="I67" i="5"/>
  <c r="J13" i="8"/>
  <c r="D43" i="5"/>
</calcChain>
</file>

<file path=xl/sharedStrings.xml><?xml version="1.0" encoding="utf-8"?>
<sst xmlns="http://schemas.openxmlformats.org/spreadsheetml/2006/main" count="696" uniqueCount="417">
  <si>
    <t>Invoice number:</t>
  </si>
  <si>
    <t>Date of sale:</t>
  </si>
  <si>
    <t>Date of invoice:</t>
  </si>
  <si>
    <t>Customer account:</t>
  </si>
  <si>
    <t>Our ref:</t>
  </si>
  <si>
    <t>Your ref:</t>
  </si>
  <si>
    <t>Description</t>
  </si>
  <si>
    <t>Article No.</t>
  </si>
  <si>
    <t>Payment within 30 days net by bank transfer (see details below)</t>
  </si>
  <si>
    <t>Total gross:</t>
  </si>
  <si>
    <t>Total net:</t>
  </si>
  <si>
    <t>Date of delivery:</t>
  </si>
  <si>
    <t>Unit price</t>
  </si>
  <si>
    <t>Total</t>
  </si>
  <si>
    <t>Quantity</t>
  </si>
  <si>
    <t>AUSTRIA</t>
  </si>
  <si>
    <t>exempt from VAT (EU sale)</t>
  </si>
  <si>
    <t>Address:</t>
  </si>
  <si>
    <t>Contact details:</t>
  </si>
  <si>
    <t>Owners:</t>
  </si>
  <si>
    <t>IBAN:</t>
  </si>
  <si>
    <t>BIC:</t>
  </si>
  <si>
    <t>EUR</t>
  </si>
  <si>
    <t>Date:</t>
  </si>
  <si>
    <t>Supplier:</t>
  </si>
  <si>
    <t>Exchange rate:</t>
  </si>
  <si>
    <t xml:space="preserve"> = </t>
  </si>
  <si>
    <t xml:space="preserve"> / </t>
  </si>
  <si>
    <t>Exchange rate on bank statement</t>
  </si>
  <si>
    <t>Fees for currency exchange</t>
  </si>
  <si>
    <t>€</t>
  </si>
  <si>
    <t xml:space="preserve">You make payment by bank transfer on </t>
  </si>
  <si>
    <t>Transport will also be paid by you:</t>
  </si>
  <si>
    <t>B</t>
  </si>
  <si>
    <t>Invoice amount</t>
  </si>
  <si>
    <t>÷</t>
  </si>
  <si>
    <t>/</t>
  </si>
  <si>
    <t>Exchange rate on bank statement:</t>
  </si>
  <si>
    <t xml:space="preserve"> -</t>
  </si>
  <si>
    <t xml:space="preserve"> =</t>
  </si>
  <si>
    <t>Bank</t>
  </si>
  <si>
    <t>Bank charges on transfers</t>
  </si>
  <si>
    <t>OR</t>
  </si>
  <si>
    <t>AND</t>
  </si>
  <si>
    <t>Gross amount is</t>
  </si>
  <si>
    <t>×</t>
  </si>
  <si>
    <t>=</t>
  </si>
  <si>
    <t>Amount due:</t>
  </si>
  <si>
    <t>COGS</t>
  </si>
  <si>
    <t>Possible Accounts:</t>
  </si>
  <si>
    <t>Amount paid:</t>
  </si>
  <si>
    <t>Entry on payment of money:</t>
  </si>
  <si>
    <t>Purchase entry:</t>
  </si>
  <si>
    <t>Purchase tax entry:</t>
  </si>
  <si>
    <t xml:space="preserve">VAT Input on EU Purchases </t>
  </si>
  <si>
    <t>VAT Output on EU Purchases</t>
  </si>
  <si>
    <t>Cash discount given to you by the supplier:</t>
  </si>
  <si>
    <t>Entry for supplier cash discount:</t>
  </si>
  <si>
    <t>Cash discount from suppliers on EU purchases</t>
  </si>
  <si>
    <t>NO VAT! But the purchase tax must be corrected:</t>
  </si>
  <si>
    <t>Entry for the correction of purchase tax:</t>
  </si>
  <si>
    <r>
      <rPr>
        <sz val="12"/>
        <color theme="1"/>
        <rFont val="Calibri"/>
        <family val="2"/>
      </rPr>
      <t>×</t>
    </r>
  </si>
  <si>
    <t>Posting the difference in exchange rates:</t>
  </si>
  <si>
    <t>Foreign currency losses</t>
  </si>
  <si>
    <t>Foreign currency gains</t>
  </si>
  <si>
    <t>Amount paid (at 100%):</t>
  </si>
  <si>
    <t xml:space="preserve">for: </t>
  </si>
  <si>
    <t>Austria</t>
  </si>
  <si>
    <t>Delivery to:</t>
  </si>
  <si>
    <t>Customer ID:</t>
  </si>
  <si>
    <t>Date of delivery</t>
  </si>
  <si>
    <t>Spalte1</t>
  </si>
  <si>
    <t>Spalte2</t>
  </si>
  <si>
    <t>Spalte3</t>
  </si>
  <si>
    <t>Spalte4</t>
  </si>
  <si>
    <t>Spalte5</t>
  </si>
  <si>
    <t>Spalte6</t>
  </si>
  <si>
    <t>Spalte7</t>
  </si>
  <si>
    <t>Spalte72</t>
  </si>
  <si>
    <t>Spalte8</t>
  </si>
  <si>
    <t>Spalte9</t>
  </si>
  <si>
    <t>No.</t>
  </si>
  <si>
    <t>Journey</t>
  </si>
  <si>
    <t>Transport price</t>
  </si>
  <si>
    <t>Contents</t>
  </si>
  <si>
    <t>units</t>
  </si>
  <si>
    <t>kg</t>
  </si>
  <si>
    <t>Price</t>
  </si>
  <si>
    <t>97 96 95</t>
  </si>
  <si>
    <t>Total net</t>
  </si>
  <si>
    <t>plus 20% VAT</t>
  </si>
  <si>
    <t xml:space="preserve">      </t>
  </si>
  <si>
    <t xml:space="preserve"> The invoice amount includes</t>
  </si>
  <si>
    <t>% VAT.           Invoice amount</t>
  </si>
  <si>
    <t>Note:</t>
  </si>
  <si>
    <t>Hart Lane 24</t>
  </si>
  <si>
    <t xml:space="preserve">Tel.01-3472854 </t>
  </si>
  <si>
    <t>Email. speedy@felix.at</t>
  </si>
  <si>
    <t>Supplier No.</t>
  </si>
  <si>
    <t>VAT Input</t>
  </si>
  <si>
    <t>Posting the payment for transport (acquisition costs)</t>
  </si>
  <si>
    <t>Machines</t>
  </si>
  <si>
    <t>Furniture &amp; Fittings</t>
  </si>
  <si>
    <t>Cash</t>
  </si>
  <si>
    <t>Reading invoice included in points</t>
  </si>
  <si>
    <r>
      <t xml:space="preserve">Post </t>
    </r>
    <r>
      <rPr>
        <b/>
        <sz val="12"/>
        <color theme="1"/>
        <rFont val="Arial"/>
        <family val="2"/>
      </rPr>
      <t xml:space="preserve">purchase </t>
    </r>
    <r>
      <rPr>
        <sz val="12"/>
        <color theme="1"/>
        <rFont val="Arial"/>
        <family val="2"/>
      </rPr>
      <t>of goods to EU to accounts in €:</t>
    </r>
  </si>
  <si>
    <t>Reading bank statement included in points</t>
  </si>
  <si>
    <r>
      <t xml:space="preserve">Payment of money for purchase invoice (you see it on your </t>
    </r>
    <r>
      <rPr>
        <b/>
        <sz val="12"/>
        <color theme="1"/>
        <rFont val="Arial"/>
        <family val="2"/>
      </rPr>
      <t>bank statement)</t>
    </r>
    <r>
      <rPr>
        <sz val="12"/>
        <color theme="1"/>
        <rFont val="Arial"/>
        <family val="2"/>
      </rPr>
      <t>:</t>
    </r>
  </si>
  <si>
    <t>Dealing with transport payment</t>
  </si>
  <si>
    <t>Resulting adjustments - difference in exchange rates</t>
  </si>
  <si>
    <t>Tel:</t>
  </si>
  <si>
    <t>Email:</t>
  </si>
  <si>
    <t>Web:</t>
  </si>
  <si>
    <t>Shares:</t>
  </si>
  <si>
    <t>Capital:</t>
  </si>
  <si>
    <t>Jurisdiction:</t>
  </si>
  <si>
    <t>Bank:</t>
  </si>
  <si>
    <t>Next available document number:</t>
  </si>
  <si>
    <t xml:space="preserve">AT 99 3920 0003 7345 023728 </t>
  </si>
  <si>
    <t>See Book II P 228</t>
  </si>
  <si>
    <t>Bank transfer</t>
  </si>
  <si>
    <t>order</t>
  </si>
  <si>
    <t>confirmed!</t>
  </si>
  <si>
    <t>Type of account:</t>
  </si>
  <si>
    <t>Name of account holder:</t>
  </si>
  <si>
    <t>Current balance:</t>
  </si>
  <si>
    <t>Cleared balance:</t>
  </si>
  <si>
    <t>Giro</t>
  </si>
  <si>
    <t>Details of transfer:</t>
  </si>
  <si>
    <t>Payee:</t>
  </si>
  <si>
    <t>IBAN of Payee:</t>
  </si>
  <si>
    <t>BIC Payee:</t>
  </si>
  <si>
    <t>Transfer amount:</t>
  </si>
  <si>
    <t>Currency:</t>
  </si>
  <si>
    <t>Description:</t>
  </si>
  <si>
    <t>Date of transfer:</t>
  </si>
  <si>
    <t>Transfer by:</t>
  </si>
  <si>
    <t>Bank Details:</t>
  </si>
  <si>
    <t>Payslip Outgoing (we pay for the transport)</t>
  </si>
  <si>
    <t>Payslip Outgoing (we pay for the goods)</t>
  </si>
  <si>
    <t>for the purchased goods:</t>
  </si>
  <si>
    <t>Transport costs</t>
  </si>
  <si>
    <t>cash discount</t>
  </si>
  <si>
    <t xml:space="preserve"> if paid within</t>
  </si>
  <si>
    <t>days</t>
  </si>
  <si>
    <t>www.speedy.at</t>
  </si>
  <si>
    <t>Company registration No.</t>
  </si>
  <si>
    <t>VAT No.</t>
  </si>
  <si>
    <t>Tel.</t>
  </si>
  <si>
    <t>KONTOAUSZUG/BANK STATEMENT</t>
  </si>
  <si>
    <t>Datum/Date</t>
  </si>
  <si>
    <t>Buchungstext/Text</t>
  </si>
  <si>
    <t>Wert/Valuta</t>
  </si>
  <si>
    <t>from</t>
  </si>
  <si>
    <t>Alter Kontostand/Previous balance</t>
  </si>
  <si>
    <t>Summe Gutschriften/Total credits</t>
  </si>
  <si>
    <t>Summe Lastschriften/Total debits</t>
  </si>
  <si>
    <t>Neuer Kontostand/Current balance</t>
  </si>
  <si>
    <t xml:space="preserve">Invoice No: </t>
  </si>
  <si>
    <t>Posting transport costs (connection to purchase necessary and must be considered as acquisition costs)</t>
  </si>
  <si>
    <t>lower exchange rate = purchase (buy low, sell high)</t>
  </si>
  <si>
    <t>Source:</t>
  </si>
  <si>
    <t>Total transfer:</t>
  </si>
  <si>
    <t>↓</t>
  </si>
  <si>
    <t>↑</t>
  </si>
  <si>
    <t xml:space="preserve">Customer VAT No. </t>
  </si>
  <si>
    <t>Customer:</t>
  </si>
  <si>
    <t>Website</t>
  </si>
  <si>
    <t>Invoice date:</t>
  </si>
  <si>
    <t xml:space="preserve"> </t>
  </si>
  <si>
    <t>Customer Id.</t>
  </si>
  <si>
    <t>Delivery:</t>
  </si>
  <si>
    <t>price/ unit</t>
  </si>
  <si>
    <t>total price</t>
  </si>
  <si>
    <t>net amount</t>
  </si>
  <si>
    <t>+ 0 % VAT</t>
  </si>
  <si>
    <t>deposit</t>
  </si>
  <si>
    <t>payment due</t>
  </si>
  <si>
    <t xml:space="preserve">Terms of payment: </t>
  </si>
  <si>
    <t>cash discount of</t>
  </si>
  <si>
    <t>Otherwise, payable within 30 days net.</t>
  </si>
  <si>
    <t>Bank details:</t>
  </si>
  <si>
    <t xml:space="preserve">Company registration No.: </t>
  </si>
  <si>
    <t>Notes:</t>
  </si>
  <si>
    <t>WIT Transport GmbH</t>
  </si>
  <si>
    <t>Price per unit in €:</t>
  </si>
  <si>
    <t>To do:</t>
  </si>
  <si>
    <t>Exchange rates:</t>
  </si>
  <si>
    <t>Transport will be paid for separately by the customer.</t>
  </si>
  <si>
    <t>Invoice Number:</t>
  </si>
  <si>
    <t>to</t>
  </si>
  <si>
    <t>+</t>
  </si>
  <si>
    <t>VAT</t>
  </si>
  <si>
    <t xml:space="preserve"> AT401965000237895219</t>
  </si>
  <si>
    <t xml:space="preserve">BIC: </t>
  </si>
  <si>
    <t>ESBKATWW</t>
  </si>
  <si>
    <t>NOTE: BIC is for</t>
  </si>
  <si>
    <t>DENIZBank</t>
  </si>
  <si>
    <t>Thomas-Klestil-Platz 1, Wien, 1030</t>
  </si>
  <si>
    <t>(based on lower exchange rate below)</t>
  </si>
  <si>
    <t>Price per unit in</t>
  </si>
  <si>
    <t>-</t>
  </si>
  <si>
    <t>Transport companies:</t>
  </si>
  <si>
    <t>Johnstr. 37</t>
  </si>
  <si>
    <t>Tel.0043-1-4728868</t>
  </si>
  <si>
    <t>Email. wittransport@aon.at</t>
  </si>
  <si>
    <t>www.WITtransport.com</t>
  </si>
  <si>
    <t>FN 73627 w</t>
  </si>
  <si>
    <t>ATU 82337289</t>
  </si>
  <si>
    <t>Santander</t>
  </si>
  <si>
    <t>Vat Reg. No.</t>
  </si>
  <si>
    <t>ATU 88291725</t>
  </si>
  <si>
    <t>FN 632854 i</t>
  </si>
  <si>
    <t>SANTATWW</t>
  </si>
  <si>
    <t>if paid within</t>
  </si>
  <si>
    <t>Recipient:</t>
  </si>
  <si>
    <t>Payer:</t>
  </si>
  <si>
    <t>IBAN of Payer:</t>
  </si>
  <si>
    <t>BIC Payer:</t>
  </si>
  <si>
    <t>Value date:</t>
  </si>
  <si>
    <t>confirmation</t>
  </si>
  <si>
    <t>Invoice No.</t>
  </si>
  <si>
    <t>UniCredit Bank</t>
  </si>
  <si>
    <t>BACX CZ PP</t>
  </si>
  <si>
    <t>Switzerland</t>
  </si>
  <si>
    <t>CRESCHZZXXX</t>
  </si>
  <si>
    <t>CHF</t>
  </si>
  <si>
    <t>VAT - tax-free export</t>
  </si>
  <si>
    <t>Transport price per unit</t>
  </si>
  <si>
    <t>Export  to Switzerland</t>
  </si>
  <si>
    <t>for goods sold as per contract agreement.</t>
  </si>
  <si>
    <t>(pay attention to VAT or no VAT?)</t>
  </si>
  <si>
    <t>Export</t>
  </si>
  <si>
    <t xml:space="preserve">Foreign currency transactions - </t>
  </si>
  <si>
    <t>Purchase from EU members without the Euro</t>
  </si>
  <si>
    <r>
      <t>Post</t>
    </r>
    <r>
      <rPr>
        <b/>
        <sz val="12"/>
        <color theme="1"/>
        <rFont val="Arial"/>
        <family val="2"/>
      </rPr>
      <t xml:space="preserve"> sale </t>
    </r>
    <r>
      <rPr>
        <sz val="12"/>
        <color theme="1"/>
        <rFont val="Arial"/>
        <family val="2"/>
      </rPr>
      <t>of goods to non-EU country to accounts in €:</t>
    </r>
  </si>
  <si>
    <t>higher exchange rate = Sale (buy low, sell high)</t>
  </si>
  <si>
    <t>Sale entry:</t>
  </si>
  <si>
    <t>Invoice for transport costs for sale</t>
  </si>
  <si>
    <t>Export sales revenue</t>
  </si>
  <si>
    <t>(pay attention to VAT or no VAT? NO VAT for exports for transport either)</t>
  </si>
  <si>
    <t>Amount received:</t>
  </si>
  <si>
    <t>Cash discount:</t>
  </si>
  <si>
    <t>NO VAT! EXPORT!</t>
  </si>
  <si>
    <t>Entry for payment of transport:</t>
  </si>
  <si>
    <t>Difference in exchange rates:</t>
  </si>
  <si>
    <t>Note: The date of the bank statement is used and not the date of valuta</t>
  </si>
  <si>
    <t>Invoice No.:</t>
  </si>
  <si>
    <t>S</t>
  </si>
  <si>
    <t>P</t>
  </si>
  <si>
    <t>Bank statement</t>
  </si>
  <si>
    <t>Source of photo:</t>
  </si>
  <si>
    <t>Vienna</t>
  </si>
  <si>
    <t>Payable in the jurisdiction of</t>
  </si>
  <si>
    <t>30 days net</t>
  </si>
  <si>
    <t>FCA</t>
  </si>
  <si>
    <t>Zürich</t>
  </si>
  <si>
    <t>Terms of delivery:</t>
  </si>
  <si>
    <t xml:space="preserve">Payable in the jurisdiction of </t>
  </si>
  <si>
    <t>Terms of payment:</t>
  </si>
  <si>
    <t>Entry on receipt of money (already stated on bank statement)</t>
  </si>
  <si>
    <t>3430 Tulln</t>
  </si>
  <si>
    <t>0043-2272-53626</t>
  </si>
  <si>
    <t>Vienna Bank</t>
  </si>
  <si>
    <t>Herthagasse 2</t>
  </si>
  <si>
    <t>05 99 03-728100</t>
  </si>
  <si>
    <t>VIBKATWW</t>
  </si>
  <si>
    <t>Denis Garvey</t>
  </si>
  <si>
    <t>Nora Roberts</t>
  </si>
  <si>
    <t>IČ 26185610</t>
  </si>
  <si>
    <t>Registration number:</t>
  </si>
  <si>
    <t>wooden boards</t>
  </si>
  <si>
    <t>per kg</t>
  </si>
  <si>
    <t>Insurance - flat rate</t>
  </si>
  <si>
    <t xml:space="preserve">Ms. </t>
  </si>
  <si>
    <t>Sandra Fricker</t>
  </si>
  <si>
    <t>Bern</t>
  </si>
  <si>
    <t xml:space="preserve">CH93 0076 2035 6472 2882 7 </t>
  </si>
  <si>
    <t>CHE-255.789.471 HR/MWST</t>
  </si>
  <si>
    <t>SPEEDY GmbH</t>
  </si>
  <si>
    <t xml:space="preserve">Vat No. </t>
  </si>
  <si>
    <t>ATU 67281579</t>
  </si>
  <si>
    <t>Tulln</t>
  </si>
  <si>
    <t>FN 372895 w</t>
  </si>
  <si>
    <t>UP</t>
  </si>
  <si>
    <t>DF</t>
  </si>
  <si>
    <t>HUF</t>
  </si>
  <si>
    <t>Hungary</t>
  </si>
  <si>
    <t>2111 Szada</t>
  </si>
  <si>
    <t>HU 14066113</t>
  </si>
  <si>
    <t xml:space="preserve">HU42 1093 0000 1690 0014 2347 </t>
  </si>
  <si>
    <t>CIF</t>
  </si>
  <si>
    <t>Budapest</t>
  </si>
  <si>
    <t>Budapest, Hungary</t>
  </si>
  <si>
    <t>Vienna, Austria</t>
  </si>
  <si>
    <t>beech - 2m X 20cm X 1.8cm boards</t>
  </si>
  <si>
    <t>Transport by ship/Danube</t>
  </si>
  <si>
    <t>garden hut</t>
  </si>
  <si>
    <t>4.20m X 1.80cm</t>
  </si>
  <si>
    <t>Vienna Bank, Herthagasse 2, 1120 Vienna; Tel.: 05 99 03-728100</t>
  </si>
  <si>
    <t>Cottage St. 13</t>
  </si>
  <si>
    <t xml:space="preserve">is a producer of wooden toys which they manufacture in a small factory in lower Austria. </t>
  </si>
  <si>
    <t>It sells its produce mainly to wholesalers and retailers in Austria.</t>
  </si>
  <si>
    <t>In addition, it has an outlet at the factory where their produce is sold directly to the customer and owns one dedicated shop in Vienna.</t>
  </si>
  <si>
    <t>As they are situated in a wooded area of lower Austria, some of the raw materials are sourced locally.</t>
  </si>
  <si>
    <t>Specialised raw materials are bought in and must often be imported from other countries.</t>
  </si>
  <si>
    <t>Shareholders:</t>
  </si>
  <si>
    <t>Personnel:</t>
  </si>
  <si>
    <t>They employ 36 people, 1 manager, 2 in Marketing and Sales, 2 administrators, 1 in purchasing, 2 logistics managers, 4 drivers, 24 factory workers and an accountant.</t>
  </si>
  <si>
    <t xml:space="preserve">General information about </t>
  </si>
  <si>
    <t>They also sell their goods abroad, especially where high-quality wooden toys are in demand as opposed to cheap mass-produced toys from China.</t>
  </si>
  <si>
    <t>Ian Sutton</t>
  </si>
  <si>
    <t>in 1980 and is now run jointly with his daughter,</t>
  </si>
  <si>
    <t>Paula Sutton</t>
  </si>
  <si>
    <t>.</t>
  </si>
  <si>
    <t>The company was set up by</t>
  </si>
  <si>
    <t>For current entries:</t>
  </si>
  <si>
    <t>Pay attention to the following notes when dealing with each document in section 2.2:</t>
  </si>
  <si>
    <t>For closing entries:</t>
  </si>
  <si>
    <t>In this task, you should work out the adjusting and closing entries required for the final accounts</t>
  </si>
  <si>
    <t>on</t>
  </si>
  <si>
    <t xml:space="preserve">based on the extract from the list of trial balances below. </t>
  </si>
  <si>
    <t>Some entries have already been made by a colleague and the values in the list of trial balances reflect these adjustments.</t>
  </si>
  <si>
    <t>Please note the following points:</t>
  </si>
  <si>
    <t>•  The adjusting entries should be consecutively numbered.</t>
  </si>
  <si>
    <t xml:space="preserve">•  Entries should be given with the account class and a short account name. </t>
  </si>
  <si>
    <t xml:space="preserve">•  Any missing accounts can be found in the chart of accounts supplied. </t>
  </si>
  <si>
    <t>•  Unless otherwise mentioned the annual accounts should be prepared according to the requirements of the Austrian Commercial, Code, taking into account the requirements of the Income Tax Act. It is general practice in Rama Zotti GmbH to exercise options that would minimize the taxable corporate income.</t>
  </si>
  <si>
    <t>•  The FIFO method is used for stock valuation.</t>
  </si>
  <si>
    <r>
      <t xml:space="preserve">•  Accounts receivable include the normal VAT rate of </t>
    </r>
    <r>
      <rPr>
        <b/>
        <sz val="12"/>
        <color rgb="FF000000"/>
        <rFont val="Calibri"/>
        <family val="2"/>
        <scheme val="minor"/>
      </rPr>
      <t>20%</t>
    </r>
    <r>
      <rPr>
        <sz val="12"/>
        <color rgb="FF000000"/>
        <rFont val="Calibri"/>
        <family val="2"/>
        <scheme val="minor"/>
      </rPr>
      <t xml:space="preserve">. </t>
    </r>
  </si>
  <si>
    <t xml:space="preserve">•  The net method is used for entries with VAT. </t>
  </si>
  <si>
    <t xml:space="preserve">•  All calculations should be taken to the nearest cent. </t>
  </si>
  <si>
    <t xml:space="preserve">•  You should show all your calculations. </t>
  </si>
  <si>
    <t xml:space="preserve">•  Accruals should be made at the end of the year. </t>
  </si>
  <si>
    <t xml:space="preserve">•  No application has been submitted for exemption from capital gains tax. </t>
  </si>
  <si>
    <t xml:space="preserve">•  Incorrect entries already made should be corrected. </t>
  </si>
  <si>
    <r>
      <t xml:space="preserve">•  </t>
    </r>
    <r>
      <rPr>
        <b/>
        <sz val="12"/>
        <color rgb="FF000000"/>
        <rFont val="Calibri"/>
        <family val="2"/>
        <scheme val="minor"/>
      </rPr>
      <t xml:space="preserve">If no entry is necessary in a particular task then you should explain why this is so. </t>
    </r>
  </si>
  <si>
    <r>
      <rPr>
        <sz val="12"/>
        <rFont val="Calibri"/>
        <family val="2"/>
      </rPr>
      <t>©</t>
    </r>
    <r>
      <rPr>
        <sz val="12"/>
        <rFont val="Calibri"/>
        <family val="2"/>
        <scheme val="minor"/>
      </rPr>
      <t>Máire Ní Charra 2023</t>
    </r>
  </si>
  <si>
    <t>The last document Nos. used were:</t>
  </si>
  <si>
    <t>C</t>
  </si>
  <si>
    <t>M</t>
  </si>
  <si>
    <t>·         Stock purchases should be posted to class 5.</t>
  </si>
  <si>
    <t>·         Assume that the aim is to make the lowest possible profit.</t>
  </si>
  <si>
    <t>·         Low-value asset should be written off immediately within the same year.</t>
  </si>
  <si>
    <t>The accounts for receivables are 2000. for domestic, 2100. for EMU (Euro) and 2150. for non-EMU  including exports.</t>
  </si>
  <si>
    <t xml:space="preserve">Note: </t>
  </si>
  <si>
    <t>The accounts for liabilities are 3300. for domestic, 3360. for EMU (Euro) and 3370. for non-EMU  including imports.</t>
  </si>
  <si>
    <t>Csapás u. 84.</t>
  </si>
  <si>
    <t>+36 20 333 4713</t>
  </si>
  <si>
    <t>istvanmolnar@gmail.com</t>
  </si>
  <si>
    <t>www.istvanmolnar.com</t>
  </si>
  <si>
    <t>https://www.istvanmolnar.com/contact</t>
  </si>
  <si>
    <t>István Molnár Kft.</t>
  </si>
  <si>
    <t>Gagnon AG</t>
  </si>
  <si>
    <t>Schauplatzgasse 72</t>
  </si>
  <si>
    <t>+31 390 6382</t>
  </si>
  <si>
    <t>fricker@gagnon.ch</t>
  </si>
  <si>
    <t>www.gagnon.ch</t>
  </si>
  <si>
    <t xml:space="preserve">- bank fees of </t>
  </si>
  <si>
    <t>NOTE: This version decucts the bank fees from the amount received in foreign currency and only records what was really paid out in total.</t>
  </si>
  <si>
    <t>Customer VAT No.</t>
  </si>
  <si>
    <r>
      <t xml:space="preserve">Source: </t>
    </r>
    <r>
      <rPr>
        <sz val="8"/>
        <rFont val="Calibri"/>
        <family val="2"/>
      </rPr>
      <t>©</t>
    </r>
    <r>
      <rPr>
        <sz val="8"/>
        <rFont val="Arial"/>
        <family val="2"/>
      </rPr>
      <t>Máire Ní Charra 2023</t>
    </r>
  </si>
  <si>
    <t>Source for logo:</t>
  </si>
  <si>
    <t>2003 Franzis‘ Verlag GmbH</t>
  </si>
  <si>
    <t>Dear Mr. Molnár,</t>
  </si>
  <si>
    <t>I would like to confirm your offer and order as follows:</t>
  </si>
  <si>
    <t>Description of the product:</t>
  </si>
  <si>
    <t>Quantity:</t>
  </si>
  <si>
    <t>Unit price:</t>
  </si>
  <si>
    <t>Total price:</t>
  </si>
  <si>
    <t>Terms of payment agreed:</t>
  </si>
  <si>
    <t>Terms of delivery agreed</t>
  </si>
  <si>
    <t>I look forward to doing business with you.</t>
  </si>
  <si>
    <t>Yours sincerely,</t>
  </si>
  <si>
    <t>Exchange rate on the day of the bank statement:</t>
  </si>
  <si>
    <t>Vocabulary:</t>
  </si>
  <si>
    <t>beech</t>
  </si>
  <si>
    <t>Buche (Holzart)</t>
  </si>
  <si>
    <t>oak</t>
  </si>
  <si>
    <t>Eiche (Holzart)</t>
  </si>
  <si>
    <t>board</t>
  </si>
  <si>
    <t>ein Brett</t>
  </si>
  <si>
    <t>VAT No of customer was missing!</t>
  </si>
  <si>
    <t>No. of units was wrong (500 iknstead of the 50 ordered)</t>
  </si>
  <si>
    <t>oak -  1.60m X 80cm X 2.5cm boards</t>
  </si>
  <si>
    <t>Purchase:</t>
  </si>
  <si>
    <t>money transfer:</t>
  </si>
  <si>
    <t>VAT:</t>
  </si>
  <si>
    <t>Sales:</t>
  </si>
  <si>
    <t>Sales revenue 20%</t>
  </si>
  <si>
    <t>EU sales revenue</t>
  </si>
  <si>
    <t>Sales revenue - finished goods</t>
  </si>
  <si>
    <t>Discounts:</t>
  </si>
  <si>
    <t>Customer cash discount</t>
  </si>
  <si>
    <t>Customer cash discount on EU sales</t>
  </si>
  <si>
    <t>Customer cash discount on exports</t>
  </si>
  <si>
    <t>Supplier cash discount 20%</t>
  </si>
  <si>
    <t>Supplier cash discount on imports</t>
  </si>
  <si>
    <t>Gain/Loss:</t>
  </si>
  <si>
    <t>Transport:</t>
  </si>
  <si>
    <t>Freight outwards 20%</t>
  </si>
  <si>
    <t>Freight outwards 0%</t>
  </si>
  <si>
    <t>Crann Toys GmbH</t>
  </si>
  <si>
    <t>cranntoys@aon.at</t>
  </si>
  <si>
    <t>www.cranntoys.at</t>
  </si>
  <si>
    <t>Tel: 0043-2272-53626, Email: cranntoys@aon.at, Webpage: www.cranntoys.at</t>
  </si>
  <si>
    <t>Change the date here in the orange cell if creating a new exercise.</t>
  </si>
  <si>
    <t>Burgi Swiss Bank</t>
  </si>
  <si>
    <t>AT 99 3829 0003 7408 3921</t>
  </si>
  <si>
    <t>The dates in the documents are formatted so that the year is not complete (20--) so that the exercise may be used for many years.</t>
  </si>
  <si>
    <t>If you want to see the dates, then reformat it to show the entire date.</t>
  </si>
  <si>
    <t>Calculation:</t>
  </si>
  <si>
    <t>Raw materials used</t>
  </si>
  <si>
    <t>n</t>
  </si>
  <si>
    <t>Document 1: Purchase invoice</t>
  </si>
  <si>
    <t>Document 2: Invoice for transport costs for purchase</t>
  </si>
  <si>
    <t>Document 3: Sales invoice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</si>
</sst>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3" formatCode="_-* #,##0.00_-;\-* #,##0.00_-;_-* &quot;-&quot;??_-;_-@_-"/>
    <numFmt numFmtId="164" formatCode="00000"/>
    <numFmt numFmtId="165" formatCode="dd/mm"/>
    <numFmt numFmtId="166" formatCode="#,##0.00\ \ \ ;#,##0.00\ \-"/>
    <numFmt numFmtId="167" formatCode="dd/mm/yyyy;@"/>
    <numFmt numFmtId="168" formatCode="[$€-2]\ #,##0;[Red]\-[$€-2]\ #,##0"/>
    <numFmt numFmtId="169" formatCode="#,##0.00000"/>
    <numFmt numFmtId="170" formatCode="&quot;€&quot;\ #,##0.00"/>
    <numFmt numFmtId="171" formatCode="[$€-2]\ #,##0.00"/>
    <numFmt numFmtId="172" formatCode="yyyy\-mm\-dd"/>
    <numFmt numFmtId="173" formatCode="0000"/>
    <numFmt numFmtId="174" formatCode="#,##0.00;[Red]#,##0.00\ \-"/>
    <numFmt numFmtId="175" formatCode="#,##0.0"/>
    <numFmt numFmtId="176" formatCode="d/\ mmm"/>
    <numFmt numFmtId="177" formatCode="#,##0.00\ [$€-1]"/>
    <numFmt numFmtId="178" formatCode="dd/m/yyyy;@"/>
    <numFmt numFmtId="179" formatCode="0.00000"/>
    <numFmt numFmtId="180" formatCode="#,##0.0000"/>
    <numFmt numFmtId="181" formatCode="[$CHF]\ #,##0.00"/>
    <numFmt numFmtId="182" formatCode="0.0000"/>
    <numFmt numFmtId="183" formatCode="[$-809]dd\ mmmm\ yyyy;@"/>
    <numFmt numFmtId="184" formatCode="[$EUR]\ #,##0.00"/>
    <numFmt numFmtId="185" formatCode="[$HUF]\ #,##0.00"/>
    <numFmt numFmtId="186" formatCode="dd/mm/&quot;20&quot;\-\-"/>
    <numFmt numFmtId="187" formatCode="[$-809]d\ mmmm\ &quot;20&quot;\-\-;@"/>
    <numFmt numFmtId="188" formatCode="dd/m/&quot;20&quot;\-\-;@"/>
    <numFmt numFmtId="189" formatCode="dd/mm/&quot;20&quot;\-\-;@"/>
  </numFmts>
  <fonts count="120">
    <font>
      <sz val="10"/>
      <name val="Arial"/>
    </font>
    <font>
      <sz val="8"/>
      <name val="Arial"/>
      <family val="2"/>
    </font>
    <font>
      <i/>
      <sz val="7"/>
      <color indexed="63"/>
      <name val="Arial"/>
      <family val="2"/>
    </font>
    <font>
      <sz val="10"/>
      <name val="Arial"/>
      <family val="2"/>
    </font>
    <font>
      <sz val="12"/>
      <name val="Arial"/>
      <family val="2"/>
    </font>
    <font>
      <sz val="12"/>
      <color theme="1"/>
      <name val="Arial"/>
      <family val="2"/>
    </font>
    <font>
      <sz val="10"/>
      <name val="Times New Roman"/>
      <family val="1"/>
    </font>
    <font>
      <b/>
      <sz val="12"/>
      <name val="Times New Roman"/>
      <family val="1"/>
    </font>
    <font>
      <sz val="12"/>
      <name val="Calibri"/>
      <family val="2"/>
      <scheme val="minor"/>
    </font>
    <font>
      <b/>
      <sz val="12"/>
      <color theme="1"/>
      <name val="Arial"/>
      <family val="2"/>
    </font>
    <font>
      <sz val="12"/>
      <color theme="1"/>
      <name val="Calibri"/>
      <family val="2"/>
    </font>
    <font>
      <sz val="12"/>
      <color rgb="FF000000"/>
      <name val="Calibri"/>
      <family val="2"/>
      <scheme val="minor"/>
    </font>
    <font>
      <sz val="12"/>
      <name val="Calibri"/>
      <family val="2"/>
    </font>
    <font>
      <i/>
      <sz val="12"/>
      <color theme="1"/>
      <name val="Arial"/>
      <family val="2"/>
    </font>
    <font>
      <b/>
      <sz val="14"/>
      <color theme="9" tint="-0.249977111117893"/>
      <name val="MV Boli"/>
    </font>
    <font>
      <sz val="10"/>
      <name val="Bookman Old Style"/>
      <family val="1"/>
    </font>
    <font>
      <sz val="12"/>
      <color theme="0" tint="-0.499984740745262"/>
      <name val="Arial"/>
      <family val="2"/>
    </font>
    <font>
      <sz val="10"/>
      <color theme="0" tint="-0.499984740745262"/>
      <name val="Arial"/>
      <family val="2"/>
    </font>
    <font>
      <b/>
      <sz val="14"/>
      <color theme="0" tint="-0.499984740745262"/>
      <name val="Arial"/>
      <family val="2"/>
    </font>
    <font>
      <b/>
      <sz val="10"/>
      <color indexed="18"/>
      <name val="Aardvark"/>
      <family val="2"/>
    </font>
    <font>
      <sz val="10"/>
      <name val="Lucida Handwriting"/>
      <family val="4"/>
    </font>
    <font>
      <sz val="12"/>
      <color indexed="18"/>
      <name val="Arial"/>
      <family val="2"/>
    </font>
    <font>
      <sz val="12"/>
      <color theme="9" tint="-0.499984740745262"/>
      <name val="Arial"/>
      <family val="2"/>
    </font>
    <font>
      <sz val="12"/>
      <name val="Lucida Handwriting"/>
      <family val="4"/>
    </font>
    <font>
      <sz val="5"/>
      <color indexed="18"/>
      <name val="Arial"/>
      <family val="2"/>
    </font>
    <font>
      <sz val="12"/>
      <color theme="0" tint="-0.499984740745262"/>
      <name val="Lucida Handwriting"/>
      <family val="4"/>
    </font>
    <font>
      <sz val="12"/>
      <color theme="4" tint="-0.499984740745262"/>
      <name val="Lucida Handwriting"/>
      <family val="4"/>
    </font>
    <font>
      <sz val="6"/>
      <color theme="0" tint="-0.499984740745262"/>
      <name val="Arial"/>
      <family val="2"/>
    </font>
    <font>
      <sz val="12"/>
      <color theme="4" tint="-0.499984740745262"/>
      <name val="Calibri"/>
      <family val="2"/>
    </font>
    <font>
      <sz val="10"/>
      <color indexed="18"/>
      <name val="Arial"/>
      <family val="2"/>
    </font>
    <font>
      <sz val="12"/>
      <name val="Koala"/>
      <family val="2"/>
    </font>
    <font>
      <sz val="12"/>
      <color theme="4" tint="-0.499984740745262"/>
      <name val="Koala"/>
      <family val="2"/>
    </font>
    <font>
      <b/>
      <sz val="12"/>
      <color indexed="18"/>
      <name val="Arial"/>
      <family val="2"/>
    </font>
    <font>
      <sz val="12"/>
      <color theme="0" tint="-0.499984740745262"/>
      <name val="Bookman Old Style"/>
      <family val="1"/>
    </font>
    <font>
      <b/>
      <sz val="12"/>
      <color theme="0" tint="-0.499984740745262"/>
      <name val="Arial"/>
      <family val="2"/>
    </font>
    <font>
      <b/>
      <sz val="10"/>
      <color theme="0" tint="-0.499984740745262"/>
      <name val="Arial"/>
      <family val="2"/>
    </font>
    <font>
      <sz val="8"/>
      <name val="Bookman Old Style"/>
      <family val="1"/>
    </font>
    <font>
      <sz val="8"/>
      <name val="Lucida Handwriting"/>
      <family val="4"/>
    </font>
    <font>
      <sz val="12"/>
      <color theme="1"/>
      <name val="Calibri"/>
      <family val="2"/>
      <scheme val="minor"/>
    </font>
    <font>
      <u/>
      <sz val="10"/>
      <color theme="10"/>
      <name val="Arial"/>
      <family val="2"/>
    </font>
    <font>
      <b/>
      <sz val="16"/>
      <color theme="1"/>
      <name val="Calibri"/>
      <family val="2"/>
      <scheme val="minor"/>
    </font>
    <font>
      <b/>
      <sz val="14"/>
      <color theme="1"/>
      <name val="Calibri"/>
      <family val="2"/>
      <scheme val="minor"/>
    </font>
    <font>
      <sz val="10"/>
      <name val="Arial"/>
      <family val="2"/>
    </font>
    <font>
      <b/>
      <sz val="12"/>
      <name val="Arial"/>
      <family val="2"/>
    </font>
    <font>
      <sz val="7"/>
      <name val="Arial"/>
      <family val="2"/>
    </font>
    <font>
      <sz val="10"/>
      <name val="Courier New"/>
      <family val="3"/>
    </font>
    <font>
      <sz val="7"/>
      <name val="Times New Roman"/>
      <family val="1"/>
    </font>
    <font>
      <sz val="10"/>
      <color rgb="FF333333"/>
      <name val="Arial"/>
      <family val="2"/>
    </font>
    <font>
      <sz val="12"/>
      <color theme="4" tint="-0.499984740745262"/>
      <name val="Calibri"/>
      <family val="2"/>
      <scheme val="minor"/>
    </font>
    <font>
      <sz val="12"/>
      <color rgb="FF333333"/>
      <name val="Arial"/>
      <family val="2"/>
    </font>
    <font>
      <sz val="10"/>
      <name val="Calibri"/>
      <family val="2"/>
    </font>
    <font>
      <sz val="12"/>
      <name val="Consolas"/>
      <family val="3"/>
    </font>
    <font>
      <sz val="10"/>
      <name val="Consolas"/>
      <family val="3"/>
    </font>
    <font>
      <sz val="10"/>
      <name val="Calibri"/>
      <family val="2"/>
      <scheme val="minor"/>
    </font>
    <font>
      <b/>
      <sz val="12"/>
      <name val="Calibri"/>
      <family val="2"/>
      <scheme val="minor"/>
    </font>
    <font>
      <sz val="12"/>
      <name val="Times New Roman"/>
      <family val="1"/>
    </font>
    <font>
      <sz val="22"/>
      <name val="Consolas"/>
      <family val="3"/>
    </font>
    <font>
      <b/>
      <sz val="12"/>
      <name val="Consolas"/>
      <family val="3"/>
    </font>
    <font>
      <b/>
      <i/>
      <sz val="12"/>
      <name val="Calibri"/>
      <family val="2"/>
      <scheme val="minor"/>
    </font>
    <font>
      <b/>
      <sz val="12"/>
      <color theme="1"/>
      <name val="Calibri"/>
      <family val="2"/>
      <scheme val="minor"/>
    </font>
    <font>
      <sz val="12"/>
      <color theme="7" tint="-0.249977111117893"/>
      <name val="Arial"/>
      <family val="2"/>
    </font>
    <font>
      <sz val="10"/>
      <color theme="7" tint="-0.249977111117893"/>
      <name val="Arial"/>
      <family val="2"/>
    </font>
    <font>
      <b/>
      <sz val="14"/>
      <color theme="7" tint="-0.249977111117893"/>
      <name val="Arial"/>
      <family val="2"/>
    </font>
    <font>
      <b/>
      <sz val="12"/>
      <color theme="7" tint="-0.249977111117893"/>
      <name val="Arial"/>
      <family val="2"/>
    </font>
    <font>
      <b/>
      <sz val="10"/>
      <color theme="7" tint="-0.249977111117893"/>
      <name val="Arial"/>
      <family val="2"/>
    </font>
    <font>
      <sz val="12"/>
      <color theme="10"/>
      <name val="Arial"/>
      <family val="2"/>
    </font>
    <font>
      <b/>
      <i/>
      <sz val="36"/>
      <color rgb="FF604A7B"/>
      <name val="Calibri"/>
      <family val="2"/>
    </font>
    <font>
      <b/>
      <i/>
      <sz val="36"/>
      <color theme="7" tint="-0.249977111117893"/>
      <name val="Arial"/>
      <family val="2"/>
    </font>
    <font>
      <b/>
      <i/>
      <sz val="10"/>
      <color theme="7" tint="-0.249977111117893"/>
      <name val="Arial"/>
      <family val="2"/>
    </font>
    <font>
      <sz val="12"/>
      <color rgb="FF0070C0"/>
      <name val="Arial"/>
      <family val="2"/>
    </font>
    <font>
      <sz val="12"/>
      <color rgb="FF111111"/>
      <name val="Calibri"/>
      <family val="2"/>
      <scheme val="minor"/>
    </font>
    <font>
      <sz val="10"/>
      <color rgb="FF4E5969"/>
      <name val="Arial"/>
      <family val="2"/>
    </font>
    <font>
      <b/>
      <sz val="10"/>
      <name val="Ink Free"/>
      <family val="4"/>
    </font>
    <font>
      <b/>
      <sz val="12"/>
      <name val="Ink Free"/>
      <family val="4"/>
    </font>
    <font>
      <sz val="10"/>
      <name val="Ink Free"/>
      <family val="4"/>
    </font>
    <font>
      <b/>
      <sz val="12"/>
      <color rgb="FFFFC000"/>
      <name val="Ink Free"/>
      <family val="4"/>
    </font>
    <font>
      <sz val="12"/>
      <color rgb="FFFFC000"/>
      <name val="Ink Free"/>
      <family val="4"/>
    </font>
    <font>
      <b/>
      <sz val="10"/>
      <name val="Calibri"/>
      <family val="2"/>
    </font>
    <font>
      <b/>
      <sz val="12"/>
      <name val="Calibri"/>
      <family val="2"/>
    </font>
    <font>
      <b/>
      <sz val="10"/>
      <name val="Times New Roman"/>
      <family val="1"/>
    </font>
    <font>
      <b/>
      <sz val="12"/>
      <color rgb="FF000000"/>
      <name val="Calibri"/>
      <family val="2"/>
      <scheme val="minor"/>
    </font>
    <font>
      <b/>
      <sz val="32"/>
      <name val="MV Boli"/>
    </font>
    <font>
      <b/>
      <sz val="36"/>
      <name val="Ink Free"/>
      <family val="4"/>
    </font>
    <font>
      <b/>
      <sz val="28"/>
      <name val="Ink Free"/>
      <family val="4"/>
    </font>
    <font>
      <b/>
      <sz val="12"/>
      <name val="MV Boli"/>
    </font>
    <font>
      <sz val="11"/>
      <name val="MV Boli"/>
    </font>
    <font>
      <b/>
      <sz val="11"/>
      <name val="Calibri"/>
      <family val="2"/>
    </font>
    <font>
      <sz val="11"/>
      <name val="Calibri"/>
      <family val="2"/>
    </font>
    <font>
      <sz val="11"/>
      <color theme="1"/>
      <name val="Calibri"/>
      <family val="2"/>
    </font>
    <font>
      <sz val="11"/>
      <name val="Arial"/>
      <family val="2"/>
    </font>
    <font>
      <sz val="11"/>
      <color theme="0" tint="-0.499984740745262"/>
      <name val="Arial"/>
      <family val="2"/>
    </font>
    <font>
      <sz val="11"/>
      <color theme="7" tint="-0.249977111117893"/>
      <name val="Arial"/>
      <family val="2"/>
    </font>
    <font>
      <sz val="11"/>
      <color theme="0" tint="-0.499984740745262"/>
      <name val="Bookman Old Style"/>
      <family val="1"/>
    </font>
    <font>
      <sz val="12"/>
      <color theme="4" tint="-0.499984740745262"/>
      <name val="Arial"/>
      <family val="2"/>
    </font>
    <font>
      <b/>
      <sz val="14"/>
      <name val="Arial"/>
      <family val="2"/>
    </font>
    <font>
      <sz val="12"/>
      <name val="Courier New"/>
      <family val="3"/>
    </font>
    <font>
      <sz val="12"/>
      <color theme="1"/>
      <name val="Courier New"/>
      <family val="3"/>
    </font>
    <font>
      <sz val="10"/>
      <name val="Verdana"/>
      <family val="2"/>
    </font>
    <font>
      <sz val="10"/>
      <color theme="1"/>
      <name val="Verdana"/>
      <family val="2"/>
    </font>
    <font>
      <u/>
      <sz val="10"/>
      <color theme="10"/>
      <name val="Verdana"/>
      <family val="2"/>
    </font>
    <font>
      <sz val="10"/>
      <color rgb="FF666666"/>
      <name val="Verdana"/>
      <family val="2"/>
    </font>
    <font>
      <b/>
      <sz val="10"/>
      <name val="Verdana"/>
      <family val="2"/>
    </font>
    <font>
      <sz val="10"/>
      <color rgb="FF000000"/>
      <name val="Verdana"/>
      <family val="2"/>
    </font>
    <font>
      <sz val="10"/>
      <color rgb="FFFFFFFF"/>
      <name val="Verdana"/>
      <family val="2"/>
    </font>
    <font>
      <sz val="10"/>
      <color rgb="FF333333"/>
      <name val="Verdana"/>
      <family val="2"/>
    </font>
    <font>
      <sz val="10"/>
      <color rgb="FF737679"/>
      <name val="Verdana"/>
      <family val="2"/>
    </font>
    <font>
      <sz val="10"/>
      <color rgb="FF212121"/>
      <name val="Verdana"/>
      <family val="2"/>
    </font>
    <font>
      <b/>
      <sz val="10"/>
      <color theme="1"/>
      <name val="Verdana"/>
      <family val="2"/>
    </font>
    <font>
      <b/>
      <shadow/>
      <sz val="10"/>
      <color rgb="FFF4F1E3"/>
      <name val="Verdana"/>
      <family val="2"/>
    </font>
    <font>
      <sz val="10"/>
      <color rgb="FF222222"/>
      <name val="Verdana"/>
      <family val="2"/>
    </font>
    <font>
      <b/>
      <sz val="10"/>
      <color rgb="FF000000"/>
      <name val="Verdana"/>
      <family val="2"/>
    </font>
    <font>
      <sz val="8"/>
      <name val="Calibri"/>
      <family val="2"/>
    </font>
    <font>
      <sz val="12"/>
      <name val="Dreaming Outloud Script Pro"/>
      <family val="4"/>
    </font>
    <font>
      <sz val="14"/>
      <name val="Courier New"/>
      <family val="3"/>
    </font>
    <font>
      <sz val="14"/>
      <name val="Arial"/>
      <family val="2"/>
    </font>
    <font>
      <sz val="14"/>
      <color theme="1"/>
      <name val="Courier New"/>
      <family val="3"/>
    </font>
    <font>
      <b/>
      <sz val="16"/>
      <name val="Arial"/>
      <family val="2"/>
    </font>
    <font>
      <b/>
      <sz val="20"/>
      <name val="Arial"/>
      <family val="2"/>
    </font>
    <font>
      <sz val="20"/>
      <name val="Aharoni"/>
      <charset val="177"/>
    </font>
    <font>
      <sz val="26"/>
      <color theme="3"/>
      <name val="Aharoni"/>
      <charset val="177"/>
    </font>
  </fonts>
  <fills count="10">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CC9900"/>
        <bgColor indexed="64"/>
      </patternFill>
    </fill>
    <fill>
      <patternFill patternType="solid">
        <fgColor theme="9" tint="-0.249977111117893"/>
        <bgColor indexed="64"/>
      </patternFill>
    </fill>
    <fill>
      <patternFill patternType="solid">
        <fgColor rgb="FFFFFFCC"/>
        <bgColor indexed="64"/>
      </patternFill>
    </fill>
    <fill>
      <patternFill patternType="solid">
        <fgColor rgb="FFFFFF00"/>
        <bgColor indexed="64"/>
      </patternFill>
    </fill>
  </fills>
  <borders count="95">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32"/>
      </left>
      <right/>
      <top style="thin">
        <color indexed="32"/>
      </top>
      <bottom/>
      <diagonal/>
    </border>
    <border>
      <left/>
      <right/>
      <top style="thin">
        <color indexed="32"/>
      </top>
      <bottom/>
      <diagonal/>
    </border>
    <border>
      <left/>
      <right style="thin">
        <color indexed="32"/>
      </right>
      <top style="thin">
        <color indexed="32"/>
      </top>
      <bottom/>
      <diagonal/>
    </border>
    <border>
      <left style="thin">
        <color indexed="32"/>
      </left>
      <right/>
      <top/>
      <bottom/>
      <diagonal/>
    </border>
    <border>
      <left/>
      <right style="thin">
        <color indexed="32"/>
      </right>
      <top/>
      <bottom/>
      <diagonal/>
    </border>
    <border>
      <left/>
      <right/>
      <top/>
      <bottom style="thin">
        <color indexed="32"/>
      </bottom>
      <diagonal/>
    </border>
    <border>
      <left/>
      <right/>
      <top style="thin">
        <color indexed="32"/>
      </top>
      <bottom style="thin">
        <color indexed="32"/>
      </bottom>
      <diagonal/>
    </border>
    <border>
      <left/>
      <right/>
      <top/>
      <bottom style="thick">
        <color theme="3" tint="-0.249977111117893"/>
      </bottom>
      <diagonal/>
    </border>
    <border>
      <left style="thin">
        <color indexed="32"/>
      </left>
      <right/>
      <top/>
      <bottom style="thin">
        <color indexed="32"/>
      </bottom>
      <diagonal/>
    </border>
    <border>
      <left/>
      <right style="thin">
        <color indexed="32"/>
      </right>
      <top/>
      <bottom style="thin">
        <color indexed="32"/>
      </bottom>
      <diagonal/>
    </border>
    <border>
      <left style="thin">
        <color indexed="32"/>
      </left>
      <right style="thin">
        <color indexed="32"/>
      </right>
      <top/>
      <bottom style="thin">
        <color indexed="32"/>
      </bottom>
      <diagonal/>
    </border>
    <border>
      <left style="thin">
        <color indexed="32"/>
      </left>
      <right style="thin">
        <color indexed="32"/>
      </right>
      <top/>
      <bottom/>
      <diagonal/>
    </border>
    <border>
      <left style="thin">
        <color indexed="32"/>
      </left>
      <right style="thin">
        <color theme="4" tint="-0.499984740745262"/>
      </right>
      <top style="thin">
        <color indexed="32"/>
      </top>
      <bottom style="thin">
        <color indexed="32"/>
      </bottom>
      <diagonal/>
    </border>
    <border>
      <left style="thin">
        <color theme="4" tint="-0.499984740745262"/>
      </left>
      <right style="thin">
        <color indexed="64"/>
      </right>
      <top style="thin">
        <color indexed="32"/>
      </top>
      <bottom style="thin">
        <color indexed="32"/>
      </bottom>
      <diagonal/>
    </border>
    <border>
      <left style="thin">
        <color indexed="32"/>
      </left>
      <right style="thin">
        <color indexed="32"/>
      </right>
      <top style="thin">
        <color indexed="32"/>
      </top>
      <bottom style="thin">
        <color indexed="32"/>
      </bottom>
      <diagonal/>
    </border>
    <border>
      <left style="thin">
        <color indexed="32"/>
      </left>
      <right/>
      <top style="thin">
        <color indexed="32"/>
      </top>
      <bottom style="thin">
        <color indexed="32"/>
      </bottom>
      <diagonal/>
    </border>
    <border>
      <left/>
      <right style="thin">
        <color indexed="32"/>
      </right>
      <top style="thin">
        <color indexed="32"/>
      </top>
      <bottom style="thin">
        <color indexed="32"/>
      </bottom>
      <diagonal/>
    </border>
    <border>
      <left style="thin">
        <color indexed="32"/>
      </left>
      <right style="thin">
        <color indexed="32"/>
      </right>
      <top style="thin">
        <color indexed="32"/>
      </top>
      <bottom style="thick">
        <color indexed="32"/>
      </bottom>
      <diagonal/>
    </border>
    <border>
      <left style="thin">
        <color indexed="32"/>
      </left>
      <right/>
      <top style="thin">
        <color indexed="32"/>
      </top>
      <bottom style="thick">
        <color indexed="32"/>
      </bottom>
      <diagonal/>
    </border>
    <border>
      <left/>
      <right/>
      <top style="thin">
        <color indexed="32"/>
      </top>
      <bottom style="thick">
        <color indexed="32"/>
      </bottom>
      <diagonal/>
    </border>
    <border>
      <left/>
      <right style="thin">
        <color indexed="32"/>
      </right>
      <top style="thin">
        <color indexed="32"/>
      </top>
      <bottom style="thick">
        <color indexed="32"/>
      </bottom>
      <diagonal/>
    </border>
    <border>
      <left style="thin">
        <color indexed="32"/>
      </left>
      <right style="thin">
        <color theme="4" tint="-0.499984740745262"/>
      </right>
      <top style="thin">
        <color indexed="32"/>
      </top>
      <bottom style="thick">
        <color indexed="32"/>
      </bottom>
      <diagonal/>
    </border>
    <border>
      <left style="thin">
        <color theme="4" tint="-0.499984740745262"/>
      </left>
      <right style="thin">
        <color indexed="64"/>
      </right>
      <top style="thin">
        <color indexed="32"/>
      </top>
      <bottom style="thick">
        <color indexed="32"/>
      </bottom>
      <diagonal/>
    </border>
    <border>
      <left/>
      <right style="thin">
        <color indexed="17"/>
      </right>
      <top/>
      <bottom/>
      <diagonal/>
    </border>
    <border>
      <left style="thin">
        <color theme="4" tint="-0.499984740745262"/>
      </left>
      <right/>
      <top style="thick">
        <color indexed="32"/>
      </top>
      <bottom/>
      <diagonal/>
    </border>
    <border>
      <left/>
      <right/>
      <top style="thick">
        <color indexed="32"/>
      </top>
      <bottom/>
      <diagonal/>
    </border>
    <border>
      <left style="thin">
        <color indexed="32"/>
      </left>
      <right style="thin">
        <color indexed="32"/>
      </right>
      <top style="thick">
        <color indexed="32"/>
      </top>
      <bottom/>
      <diagonal/>
    </border>
    <border>
      <left style="thin">
        <color theme="4" tint="-0.499984740745262"/>
      </left>
      <right/>
      <top/>
      <bottom/>
      <diagonal/>
    </border>
    <border>
      <left style="thin">
        <color indexed="32"/>
      </left>
      <right style="thin">
        <color indexed="32"/>
      </right>
      <top/>
      <bottom style="thick">
        <color indexed="32"/>
      </bottom>
      <diagonal/>
    </border>
    <border>
      <left/>
      <right style="thin">
        <color theme="4" tint="-0.499984740745262"/>
      </right>
      <top/>
      <bottom/>
      <diagonal/>
    </border>
    <border>
      <left/>
      <right/>
      <top/>
      <bottom style="thin">
        <color theme="4" tint="-0.499984740745262"/>
      </bottom>
      <diagonal/>
    </border>
    <border>
      <left/>
      <right/>
      <top style="thin">
        <color theme="4" tint="-0.499984740745262"/>
      </top>
      <bottom/>
      <diagonal/>
    </border>
    <border>
      <left/>
      <right/>
      <top style="thin">
        <color indexed="64"/>
      </top>
      <bottom style="thin">
        <color theme="3" tint="-0.249977111117893"/>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diagonal/>
    </border>
    <border>
      <left/>
      <right style="medium">
        <color theme="3"/>
      </right>
      <top/>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theme="7" tint="-0.249977111117893"/>
      </bottom>
      <diagonal/>
    </border>
    <border>
      <left style="thin">
        <color theme="7" tint="-0.249977111117893"/>
      </left>
      <right style="thin">
        <color theme="7" tint="-0.249977111117893"/>
      </right>
      <top style="thin">
        <color theme="7" tint="-0.249977111117893"/>
      </top>
      <bottom style="thin">
        <color theme="7" tint="-0.249977111117893"/>
      </bottom>
      <diagonal/>
    </border>
    <border>
      <left style="thin">
        <color theme="7" tint="-0.249977111117893"/>
      </left>
      <right/>
      <top style="thin">
        <color theme="7" tint="-0.249977111117893"/>
      </top>
      <bottom style="thin">
        <color theme="7" tint="-0.249977111117893"/>
      </bottom>
      <diagonal/>
    </border>
    <border>
      <left/>
      <right style="thin">
        <color theme="7" tint="-0.249977111117893"/>
      </right>
      <top style="thin">
        <color theme="7" tint="-0.249977111117893"/>
      </top>
      <bottom style="thin">
        <color theme="7" tint="-0.249977111117893"/>
      </bottom>
      <diagonal/>
    </border>
    <border>
      <left/>
      <right/>
      <top style="thin">
        <color theme="7" tint="-0.249977111117893"/>
      </top>
      <bottom style="thin">
        <color theme="7" tint="-0.249977111117893"/>
      </bottom>
      <diagonal/>
    </border>
    <border>
      <left style="thin">
        <color theme="7" tint="-0.249977111117893"/>
      </left>
      <right style="thin">
        <color theme="7" tint="-0.249977111117893"/>
      </right>
      <top style="thin">
        <color theme="7" tint="-0.249977111117893"/>
      </top>
      <bottom style="medium">
        <color theme="7" tint="-0.249977111117893"/>
      </bottom>
      <diagonal/>
    </border>
    <border>
      <left style="thin">
        <color theme="7" tint="-0.249977111117893"/>
      </left>
      <right/>
      <top style="thin">
        <color theme="7" tint="-0.249977111117893"/>
      </top>
      <bottom style="medium">
        <color theme="7" tint="-0.249977111117893"/>
      </bottom>
      <diagonal/>
    </border>
    <border>
      <left/>
      <right style="thin">
        <color theme="7" tint="-0.249977111117893"/>
      </right>
      <top style="thin">
        <color theme="7" tint="-0.249977111117893"/>
      </top>
      <bottom style="medium">
        <color theme="7" tint="-0.249977111117893"/>
      </bottom>
      <diagonal/>
    </border>
    <border>
      <left/>
      <right/>
      <top style="thin">
        <color theme="7" tint="-0.249977111117893"/>
      </top>
      <bottom style="medium">
        <color theme="7" tint="-0.249977111117893"/>
      </bottom>
      <diagonal/>
    </border>
    <border>
      <left style="thin">
        <color theme="7" tint="-0.249977111117893"/>
      </left>
      <right/>
      <top/>
      <bottom/>
      <diagonal/>
    </border>
    <border>
      <left style="thin">
        <color theme="7" tint="-0.249977111117893"/>
      </left>
      <right style="thin">
        <color theme="7" tint="-0.249977111117893"/>
      </right>
      <top/>
      <bottom/>
      <diagonal/>
    </border>
    <border>
      <left style="thin">
        <color theme="7" tint="-0.249977111117893"/>
      </left>
      <right style="thin">
        <color theme="7" tint="-0.249977111117893"/>
      </right>
      <top/>
      <bottom style="medium">
        <color theme="7" tint="-0.249977111117893"/>
      </bottom>
      <diagonal/>
    </border>
    <border>
      <left/>
      <right style="thin">
        <color theme="7" tint="-0.249977111117893"/>
      </right>
      <top/>
      <bottom/>
      <diagonal/>
    </border>
    <border>
      <left style="thin">
        <color theme="7" tint="-0.249977111117893"/>
      </left>
      <right/>
      <top/>
      <bottom style="thin">
        <color theme="7" tint="-0.249977111117893"/>
      </bottom>
      <diagonal/>
    </border>
    <border>
      <left/>
      <right/>
      <top/>
      <bottom style="thin">
        <color theme="7" tint="-0.249977111117893"/>
      </bottom>
      <diagonal/>
    </border>
    <border>
      <left/>
      <right style="thin">
        <color theme="7" tint="-0.249977111117893"/>
      </right>
      <top/>
      <bottom style="thin">
        <color theme="7" tint="-0.249977111117893"/>
      </bottom>
      <diagonal/>
    </border>
    <border>
      <left style="thin">
        <color indexed="64"/>
      </left>
      <right/>
      <top style="thin">
        <color indexed="32"/>
      </top>
      <bottom style="thick">
        <color indexed="32"/>
      </bottom>
      <diagonal/>
    </border>
    <border>
      <left style="thin">
        <color indexed="64"/>
      </left>
      <right/>
      <top style="thin">
        <color indexed="32"/>
      </top>
      <bottom style="thin">
        <color indexed="32"/>
      </bottom>
      <diagonal/>
    </border>
    <border>
      <left/>
      <right/>
      <top style="medium">
        <color theme="7" tint="-0.249977111117893"/>
      </top>
      <bottom style="thin">
        <color theme="7" tint="-0.249977111117893"/>
      </bottom>
      <diagonal/>
    </border>
    <border>
      <left/>
      <right style="thin">
        <color indexed="64"/>
      </right>
      <top style="thick">
        <color indexed="32"/>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s>
  <cellStyleXfs count="3">
    <xf numFmtId="0" fontId="0" fillId="0" borderId="0"/>
    <xf numFmtId="0" fontId="39" fillId="0" borderId="0" applyNumberFormat="0" applyFill="0" applyBorder="0" applyAlignment="0" applyProtection="0"/>
    <xf numFmtId="43" fontId="42" fillId="0" borderId="0" applyFont="0" applyFill="0" applyBorder="0" applyAlignment="0" applyProtection="0"/>
  </cellStyleXfs>
  <cellXfs count="744">
    <xf numFmtId="0" fontId="0" fillId="0" borderId="0" xfId="0"/>
    <xf numFmtId="0" fontId="1" fillId="0" borderId="0" xfId="0" applyFont="1" applyProtection="1">
      <protection hidden="1"/>
    </xf>
    <xf numFmtId="0" fontId="3" fillId="0" borderId="0" xfId="0" applyFont="1" applyProtection="1">
      <protection hidden="1"/>
    </xf>
    <xf numFmtId="0" fontId="3" fillId="0" borderId="0" xfId="0" applyFont="1"/>
    <xf numFmtId="0" fontId="3" fillId="0" borderId="2" xfId="0" applyFont="1" applyBorder="1" applyProtection="1">
      <protection hidden="1"/>
    </xf>
    <xf numFmtId="0" fontId="5" fillId="0" borderId="0" xfId="0" applyFont="1"/>
    <xf numFmtId="0" fontId="4" fillId="0" borderId="0" xfId="0" applyFont="1" applyProtection="1">
      <protection hidden="1"/>
    </xf>
    <xf numFmtId="168" fontId="4" fillId="0" borderId="0" xfId="0" applyNumberFormat="1" applyFont="1" applyProtection="1">
      <protection hidden="1"/>
    </xf>
    <xf numFmtId="169" fontId="4" fillId="0" borderId="0" xfId="0" applyNumberFormat="1" applyFont="1" applyAlignment="1" applyProtection="1">
      <alignment horizontal="left"/>
      <protection hidden="1"/>
    </xf>
    <xf numFmtId="0" fontId="4" fillId="0" borderId="0" xfId="0" applyFont="1" applyAlignment="1" applyProtection="1">
      <alignment horizontal="right"/>
      <protection hidden="1"/>
    </xf>
    <xf numFmtId="0" fontId="6" fillId="0" borderId="0" xfId="0" applyFont="1" applyProtection="1">
      <protection hidden="1"/>
    </xf>
    <xf numFmtId="0" fontId="7" fillId="0" borderId="0" xfId="0" applyFont="1" applyProtection="1">
      <protection hidden="1"/>
    </xf>
    <xf numFmtId="14" fontId="4" fillId="0" borderId="0" xfId="0" applyNumberFormat="1" applyFont="1" applyAlignment="1" applyProtection="1">
      <alignment horizontal="right"/>
      <protection hidden="1"/>
    </xf>
    <xf numFmtId="0" fontId="4" fillId="0" borderId="0" xfId="0" applyFont="1" applyAlignment="1" applyProtection="1">
      <alignment horizontal="left" vertical="top"/>
      <protection hidden="1"/>
    </xf>
    <xf numFmtId="4" fontId="4" fillId="0" borderId="0" xfId="0" applyNumberFormat="1" applyFont="1" applyAlignment="1" applyProtection="1">
      <alignment horizontal="left"/>
      <protection hidden="1"/>
    </xf>
    <xf numFmtId="0" fontId="9" fillId="0" borderId="0" xfId="0" applyFont="1"/>
    <xf numFmtId="0" fontId="5" fillId="0" borderId="0" xfId="0" applyFont="1" applyAlignment="1">
      <alignment horizontal="right"/>
    </xf>
    <xf numFmtId="4" fontId="5" fillId="0" borderId="0" xfId="0" applyNumberFormat="1" applyFont="1" applyAlignment="1">
      <alignment horizontal="right"/>
    </xf>
    <xf numFmtId="4" fontId="5" fillId="0" borderId="0" xfId="0" applyNumberFormat="1" applyFont="1"/>
    <xf numFmtId="0" fontId="5" fillId="0" borderId="4" xfId="0" applyFont="1" applyBorder="1" applyAlignment="1">
      <alignment horizontal="right"/>
    </xf>
    <xf numFmtId="4" fontId="5" fillId="0" borderId="4" xfId="0" applyNumberFormat="1" applyFont="1" applyBorder="1"/>
    <xf numFmtId="169" fontId="5" fillId="0" borderId="0" xfId="0" applyNumberFormat="1" applyFont="1"/>
    <xf numFmtId="0" fontId="5" fillId="0" borderId="0" xfId="0" applyFont="1" applyAlignment="1">
      <alignment horizontal="center"/>
    </xf>
    <xf numFmtId="9" fontId="5" fillId="0" borderId="0" xfId="0" applyNumberFormat="1" applyFont="1" applyAlignment="1">
      <alignment horizontal="center"/>
    </xf>
    <xf numFmtId="9" fontId="5" fillId="0" borderId="0" xfId="0" applyNumberFormat="1" applyFont="1" applyAlignment="1">
      <alignment horizontal="right"/>
    </xf>
    <xf numFmtId="0" fontId="5" fillId="0" borderId="7" xfId="0" applyFont="1" applyBorder="1" applyAlignment="1">
      <alignment horizontal="right"/>
    </xf>
    <xf numFmtId="0" fontId="5" fillId="0" borderId="7" xfId="0" applyFont="1" applyBorder="1"/>
    <xf numFmtId="0" fontId="5" fillId="0" borderId="4" xfId="0" applyFont="1" applyBorder="1"/>
    <xf numFmtId="0" fontId="10" fillId="0" borderId="0" xfId="0" applyFont="1" applyAlignment="1">
      <alignment horizontal="right"/>
    </xf>
    <xf numFmtId="9" fontId="5" fillId="0" borderId="7" xfId="0" applyNumberFormat="1" applyFont="1" applyBorder="1"/>
    <xf numFmtId="9" fontId="5" fillId="0" borderId="0" xfId="0" applyNumberFormat="1" applyFont="1"/>
    <xf numFmtId="0" fontId="5" fillId="0" borderId="0" xfId="0" quotePrefix="1" applyFont="1" applyAlignment="1">
      <alignment horizontal="right"/>
    </xf>
    <xf numFmtId="4" fontId="10" fillId="0" borderId="0" xfId="0" applyNumberFormat="1" applyFont="1" applyAlignment="1">
      <alignment horizontal="center"/>
    </xf>
    <xf numFmtId="0" fontId="5" fillId="0" borderId="0" xfId="0" quotePrefix="1" applyFont="1" applyAlignment="1">
      <alignment horizontal="center"/>
    </xf>
    <xf numFmtId="0" fontId="4" fillId="0" borderId="0" xfId="0" applyFont="1"/>
    <xf numFmtId="0" fontId="8" fillId="0" borderId="0" xfId="0" applyFont="1"/>
    <xf numFmtId="4" fontId="5" fillId="0" borderId="0" xfId="0" quotePrefix="1" applyNumberFormat="1" applyFont="1" applyAlignment="1">
      <alignment horizontal="right"/>
    </xf>
    <xf numFmtId="0" fontId="5" fillId="0" borderId="0" xfId="0" quotePrefix="1" applyFont="1"/>
    <xf numFmtId="4" fontId="5" fillId="0" borderId="0" xfId="0" applyNumberFormat="1" applyFont="1" applyAlignment="1">
      <alignment horizontal="left"/>
    </xf>
    <xf numFmtId="0" fontId="13" fillId="2" borderId="0" xfId="0" applyFont="1" applyFill="1"/>
    <xf numFmtId="9" fontId="5" fillId="0" borderId="0" xfId="0" quotePrefix="1" applyNumberFormat="1" applyFont="1"/>
    <xf numFmtId="170" fontId="5" fillId="0" borderId="0" xfId="0" quotePrefix="1" applyNumberFormat="1" applyFont="1"/>
    <xf numFmtId="0" fontId="0" fillId="0" borderId="12" xfId="0" applyBorder="1" applyProtection="1">
      <protection hidden="1"/>
    </xf>
    <xf numFmtId="0" fontId="0" fillId="0" borderId="13" xfId="0" applyBorder="1" applyProtection="1">
      <protection hidden="1"/>
    </xf>
    <xf numFmtId="0" fontId="0" fillId="0" borderId="14" xfId="0" applyBorder="1" applyProtection="1">
      <protection hidden="1"/>
    </xf>
    <xf numFmtId="0" fontId="0" fillId="0" borderId="15" xfId="0" applyBorder="1" applyProtection="1">
      <protection hidden="1"/>
    </xf>
    <xf numFmtId="0" fontId="14" fillId="0" borderId="0" xfId="0" applyFont="1" applyProtection="1">
      <protection hidden="1"/>
    </xf>
    <xf numFmtId="0" fontId="0" fillId="0" borderId="0" xfId="0" applyProtection="1">
      <protection hidden="1"/>
    </xf>
    <xf numFmtId="0" fontId="0" fillId="0" borderId="16" xfId="0" applyBorder="1" applyProtection="1">
      <protection hidden="1"/>
    </xf>
    <xf numFmtId="0" fontId="15" fillId="0" borderId="0" xfId="0" applyFont="1" applyProtection="1">
      <protection hidden="1"/>
    </xf>
    <xf numFmtId="0" fontId="16" fillId="0" borderId="0" xfId="0" applyFont="1" applyProtection="1">
      <protection hidden="1"/>
    </xf>
    <xf numFmtId="0" fontId="17" fillId="0" borderId="0" xfId="0" applyFont="1" applyProtection="1">
      <protection hidden="1"/>
    </xf>
    <xf numFmtId="0" fontId="18" fillId="0" borderId="0" xfId="0" applyFont="1" applyProtection="1">
      <protection hidden="1"/>
    </xf>
    <xf numFmtId="0" fontId="19" fillId="0" borderId="0" xfId="0" applyFont="1" applyProtection="1">
      <protection hidden="1"/>
    </xf>
    <xf numFmtId="0" fontId="16" fillId="0" borderId="17" xfId="0" applyFont="1" applyBorder="1" applyProtection="1">
      <protection hidden="1"/>
    </xf>
    <xf numFmtId="0" fontId="21" fillId="0" borderId="0" xfId="0" applyFont="1" applyProtection="1">
      <protection hidden="1"/>
    </xf>
    <xf numFmtId="0" fontId="21" fillId="0" borderId="17" xfId="0" applyFont="1" applyBorder="1" applyProtection="1">
      <protection hidden="1"/>
    </xf>
    <xf numFmtId="0" fontId="4" fillId="0" borderId="17" xfId="0" applyFont="1" applyBorder="1" applyProtection="1">
      <protection hidden="1"/>
    </xf>
    <xf numFmtId="0" fontId="16" fillId="0" borderId="18" xfId="0" applyFont="1" applyBorder="1" applyProtection="1">
      <protection hidden="1"/>
    </xf>
    <xf numFmtId="14" fontId="4" fillId="0" borderId="18" xfId="0" applyNumberFormat="1" applyFont="1" applyBorder="1" applyProtection="1">
      <protection hidden="1"/>
    </xf>
    <xf numFmtId="0" fontId="4" fillId="0" borderId="19" xfId="0" applyFont="1" applyBorder="1" applyProtection="1">
      <protection hidden="1"/>
    </xf>
    <xf numFmtId="0" fontId="4" fillId="0" borderId="15" xfId="0" applyFont="1" applyBorder="1" applyProtection="1">
      <protection hidden="1"/>
    </xf>
    <xf numFmtId="0" fontId="22" fillId="0" borderId="20" xfId="0" applyFont="1" applyBorder="1" applyProtection="1">
      <protection hidden="1"/>
    </xf>
    <xf numFmtId="0" fontId="23" fillId="0" borderId="17" xfId="0" applyFont="1" applyBorder="1" applyAlignment="1" applyProtection="1">
      <alignment horizontal="center"/>
      <protection hidden="1"/>
    </xf>
    <xf numFmtId="0" fontId="23" fillId="0" borderId="21" xfId="0" applyFont="1" applyBorder="1" applyAlignment="1" applyProtection="1">
      <alignment horizontal="center"/>
      <protection hidden="1"/>
    </xf>
    <xf numFmtId="0" fontId="22" fillId="0" borderId="20" xfId="0" applyFont="1" applyBorder="1" applyAlignment="1" applyProtection="1">
      <alignment horizontal="center"/>
      <protection hidden="1"/>
    </xf>
    <xf numFmtId="0" fontId="22" fillId="0" borderId="17" xfId="0" applyFont="1" applyBorder="1" applyAlignment="1" applyProtection="1">
      <alignment horizontal="center"/>
      <protection hidden="1"/>
    </xf>
    <xf numFmtId="0" fontId="21" fillId="0" borderId="21" xfId="0" applyFont="1" applyBorder="1" applyAlignment="1" applyProtection="1">
      <alignment horizontal="center"/>
      <protection hidden="1"/>
    </xf>
    <xf numFmtId="0" fontId="22" fillId="0" borderId="22" xfId="0" applyFont="1" applyBorder="1" applyAlignment="1" applyProtection="1">
      <alignment horizontal="center"/>
      <protection hidden="1"/>
    </xf>
    <xf numFmtId="0" fontId="16" fillId="0" borderId="15" xfId="0" applyFont="1" applyBorder="1" applyProtection="1">
      <protection hidden="1"/>
    </xf>
    <xf numFmtId="0" fontId="16" fillId="0" borderId="20" xfId="0" applyFont="1" applyBorder="1" applyProtection="1">
      <protection hidden="1"/>
    </xf>
    <xf numFmtId="0" fontId="25" fillId="0" borderId="17" xfId="0" applyFont="1" applyBorder="1" applyAlignment="1" applyProtection="1">
      <alignment horizontal="center"/>
      <protection hidden="1"/>
    </xf>
    <xf numFmtId="0" fontId="25" fillId="0" borderId="21" xfId="0" applyFont="1" applyBorder="1" applyAlignment="1" applyProtection="1">
      <alignment horizontal="center"/>
      <protection hidden="1"/>
    </xf>
    <xf numFmtId="0" fontId="16" fillId="0" borderId="24" xfId="0" applyFont="1" applyBorder="1" applyAlignment="1" applyProtection="1">
      <alignment horizontal="center"/>
      <protection hidden="1"/>
    </xf>
    <xf numFmtId="0" fontId="16" fillId="0" borderId="25" xfId="0" applyFont="1" applyBorder="1" applyAlignment="1" applyProtection="1">
      <alignment horizontal="center"/>
      <protection hidden="1"/>
    </xf>
    <xf numFmtId="0" fontId="16" fillId="0" borderId="21" xfId="0" applyFont="1" applyBorder="1" applyAlignment="1" applyProtection="1">
      <alignment horizontal="center"/>
      <protection hidden="1"/>
    </xf>
    <xf numFmtId="0" fontId="16" fillId="0" borderId="22" xfId="0" applyFont="1" applyBorder="1" applyAlignment="1" applyProtection="1">
      <alignment horizontal="center"/>
      <protection hidden="1"/>
    </xf>
    <xf numFmtId="0" fontId="12" fillId="0" borderId="18" xfId="0" applyFont="1" applyBorder="1"/>
    <xf numFmtId="0" fontId="12" fillId="0" borderId="28" xfId="0" applyFont="1" applyBorder="1"/>
    <xf numFmtId="171" fontId="12" fillId="0" borderId="26" xfId="0" applyNumberFormat="1" applyFont="1" applyBorder="1" applyProtection="1">
      <protection hidden="1"/>
    </xf>
    <xf numFmtId="0" fontId="4" fillId="0" borderId="18" xfId="0" applyFont="1" applyBorder="1"/>
    <xf numFmtId="0" fontId="4" fillId="0" borderId="28" xfId="0" applyFont="1" applyBorder="1"/>
    <xf numFmtId="171" fontId="23" fillId="0" borderId="28" xfId="0" applyNumberFormat="1" applyFont="1" applyBorder="1" applyProtection="1">
      <protection hidden="1"/>
    </xf>
    <xf numFmtId="0" fontId="23" fillId="0" borderId="26" xfId="0" applyFont="1" applyBorder="1" applyProtection="1">
      <protection locked="0"/>
    </xf>
    <xf numFmtId="171" fontId="26" fillId="0" borderId="24" xfId="0" applyNumberFormat="1" applyFont="1" applyBorder="1" applyProtection="1">
      <protection locked="0"/>
    </xf>
    <xf numFmtId="171" fontId="26" fillId="0" borderId="25" xfId="0" applyNumberFormat="1" applyFont="1" applyBorder="1" applyProtection="1">
      <protection locked="0"/>
    </xf>
    <xf numFmtId="0" fontId="23" fillId="0" borderId="26" xfId="0" applyFont="1" applyBorder="1" applyProtection="1">
      <protection hidden="1"/>
    </xf>
    <xf numFmtId="171" fontId="26" fillId="0" borderId="24" xfId="0" applyNumberFormat="1" applyFont="1" applyBorder="1" applyProtection="1">
      <protection hidden="1"/>
    </xf>
    <xf numFmtId="171" fontId="26" fillId="0" borderId="25" xfId="0" applyNumberFormat="1" applyFont="1" applyBorder="1" applyProtection="1">
      <protection hidden="1"/>
    </xf>
    <xf numFmtId="0" fontId="12" fillId="0" borderId="27" xfId="0" applyFont="1" applyBorder="1" applyAlignment="1" applyProtection="1">
      <alignment horizontal="left"/>
      <protection hidden="1"/>
    </xf>
    <xf numFmtId="171" fontId="28" fillId="0" borderId="24" xfId="0" applyNumberFormat="1" applyFont="1" applyBorder="1" applyProtection="1">
      <protection hidden="1"/>
    </xf>
    <xf numFmtId="171" fontId="28" fillId="0" borderId="25" xfId="0" applyNumberFormat="1" applyFont="1" applyBorder="1" applyProtection="1">
      <protection hidden="1"/>
    </xf>
    <xf numFmtId="171" fontId="12" fillId="0" borderId="28" xfId="0" applyNumberFormat="1" applyFont="1" applyBorder="1" applyProtection="1">
      <protection hidden="1"/>
    </xf>
    <xf numFmtId="0" fontId="29" fillId="0" borderId="15" xfId="0" applyFont="1" applyBorder="1" applyProtection="1">
      <protection hidden="1"/>
    </xf>
    <xf numFmtId="0" fontId="30" fillId="0" borderId="29" xfId="0" applyFont="1" applyBorder="1" applyProtection="1">
      <protection hidden="1"/>
    </xf>
    <xf numFmtId="0" fontId="4" fillId="0" borderId="31" xfId="0" applyFont="1" applyBorder="1"/>
    <xf numFmtId="0" fontId="4" fillId="0" borderId="32" xfId="0" applyFont="1" applyBorder="1"/>
    <xf numFmtId="171" fontId="31" fillId="0" borderId="33" xfId="0" applyNumberFormat="1" applyFont="1" applyBorder="1" applyProtection="1">
      <protection hidden="1"/>
    </xf>
    <xf numFmtId="171" fontId="31" fillId="0" borderId="34" xfId="0" applyNumberFormat="1" applyFont="1" applyBorder="1" applyProtection="1">
      <protection hidden="1"/>
    </xf>
    <xf numFmtId="171" fontId="30" fillId="0" borderId="32" xfId="0" applyNumberFormat="1" applyFont="1" applyBorder="1" applyProtection="1">
      <protection hidden="1"/>
    </xf>
    <xf numFmtId="171" fontId="12" fillId="0" borderId="35" xfId="0" applyNumberFormat="1" applyFont="1" applyBorder="1" applyProtection="1">
      <protection hidden="1"/>
    </xf>
    <xf numFmtId="0" fontId="22" fillId="0" borderId="36" xfId="0" applyFont="1" applyBorder="1" applyProtection="1">
      <protection hidden="1"/>
    </xf>
    <xf numFmtId="0" fontId="21" fillId="0" borderId="37" xfId="0" applyFont="1" applyBorder="1" applyProtection="1">
      <protection hidden="1"/>
    </xf>
    <xf numFmtId="0" fontId="32" fillId="0" borderId="37" xfId="0" applyFont="1" applyBorder="1" applyAlignment="1" applyProtection="1">
      <alignment horizontal="right"/>
      <protection hidden="1"/>
    </xf>
    <xf numFmtId="0" fontId="4" fillId="0" borderId="37" xfId="0" applyFont="1" applyBorder="1" applyProtection="1">
      <protection hidden="1"/>
    </xf>
    <xf numFmtId="171" fontId="12" fillId="0" borderId="38" xfId="0" applyNumberFormat="1" applyFont="1" applyBorder="1" applyAlignment="1" applyProtection="1">
      <alignment horizontal="right"/>
      <protection hidden="1"/>
    </xf>
    <xf numFmtId="0" fontId="16" fillId="0" borderId="39" xfId="0" applyFont="1" applyBorder="1" applyProtection="1">
      <protection hidden="1"/>
    </xf>
    <xf numFmtId="0" fontId="33" fillId="0" borderId="0" xfId="0" applyFont="1" applyAlignment="1" applyProtection="1">
      <alignment horizontal="center"/>
      <protection locked="0"/>
    </xf>
    <xf numFmtId="0" fontId="34" fillId="0" borderId="0" xfId="0" applyFont="1" applyAlignment="1" applyProtection="1">
      <alignment horizontal="right"/>
      <protection hidden="1"/>
    </xf>
    <xf numFmtId="0" fontId="4" fillId="0" borderId="40" xfId="0" applyFont="1" applyBorder="1"/>
    <xf numFmtId="0" fontId="35" fillId="0" borderId="0" xfId="0" applyFont="1" applyAlignment="1" applyProtection="1">
      <alignment horizontal="right"/>
      <protection hidden="1"/>
    </xf>
    <xf numFmtId="0" fontId="29" fillId="0" borderId="43" xfId="0" applyFont="1" applyBorder="1" applyProtection="1">
      <protection hidden="1"/>
    </xf>
    <xf numFmtId="0" fontId="29" fillId="0" borderId="0" xfId="0" applyFont="1" applyProtection="1">
      <protection hidden="1"/>
    </xf>
    <xf numFmtId="0" fontId="0" fillId="0" borderId="20" xfId="0" applyBorder="1" applyProtection="1">
      <protection hidden="1"/>
    </xf>
    <xf numFmtId="0" fontId="0" fillId="0" borderId="17" xfId="0" applyBorder="1" applyProtection="1">
      <protection hidden="1"/>
    </xf>
    <xf numFmtId="0" fontId="0" fillId="0" borderId="21" xfId="0" applyBorder="1" applyProtection="1">
      <protection hidden="1"/>
    </xf>
    <xf numFmtId="0" fontId="12" fillId="0" borderId="17" xfId="0" applyFont="1" applyBorder="1" applyAlignment="1" applyProtection="1">
      <alignment horizontal="left"/>
      <protection locked="0"/>
    </xf>
    <xf numFmtId="0" fontId="12" fillId="0" borderId="18" xfId="0" applyFont="1" applyBorder="1" applyAlignment="1" applyProtection="1">
      <alignment horizontal="left"/>
      <protection locked="0"/>
    </xf>
    <xf numFmtId="0" fontId="0" fillId="0" borderId="7" xfId="0" applyBorder="1"/>
    <xf numFmtId="0" fontId="5" fillId="0" borderId="0" xfId="0" applyFont="1" applyAlignment="1">
      <alignment horizontal="right" vertical="top"/>
    </xf>
    <xf numFmtId="0" fontId="5" fillId="2" borderId="0" xfId="0" applyFont="1" applyFill="1"/>
    <xf numFmtId="0" fontId="13" fillId="0" borderId="0" xfId="0" applyFont="1"/>
    <xf numFmtId="0" fontId="38" fillId="0" borderId="0" xfId="0" applyFont="1"/>
    <xf numFmtId="0" fontId="0" fillId="0" borderId="45" xfId="0" applyBorder="1"/>
    <xf numFmtId="0" fontId="0" fillId="0" borderId="46" xfId="0" applyBorder="1"/>
    <xf numFmtId="0" fontId="0" fillId="0" borderId="47" xfId="0" applyBorder="1"/>
    <xf numFmtId="0" fontId="0" fillId="0" borderId="48" xfId="0" applyBorder="1"/>
    <xf numFmtId="0" fontId="0" fillId="0" borderId="49" xfId="0" applyBorder="1"/>
    <xf numFmtId="0" fontId="40" fillId="0" borderId="0" xfId="0" applyFont="1"/>
    <xf numFmtId="0" fontId="41" fillId="0" borderId="0" xfId="0" applyFont="1"/>
    <xf numFmtId="170" fontId="0" fillId="0" borderId="49" xfId="0" applyNumberFormat="1" applyBorder="1"/>
    <xf numFmtId="4" fontId="0" fillId="0" borderId="0" xfId="0" applyNumberFormat="1"/>
    <xf numFmtId="0" fontId="0" fillId="0" borderId="58" xfId="0" applyBorder="1"/>
    <xf numFmtId="0" fontId="0" fillId="0" borderId="59" xfId="0" applyBorder="1"/>
    <xf numFmtId="0" fontId="0" fillId="0" borderId="60" xfId="0" applyBorder="1"/>
    <xf numFmtId="0" fontId="8" fillId="0" borderId="0" xfId="0" applyFont="1" applyProtection="1">
      <protection hidden="1"/>
    </xf>
    <xf numFmtId="4" fontId="4" fillId="0" borderId="0" xfId="0" applyNumberFormat="1" applyFont="1" applyProtection="1">
      <protection hidden="1"/>
    </xf>
    <xf numFmtId="0" fontId="20" fillId="0" borderId="0" xfId="0" applyFont="1" applyAlignment="1" applyProtection="1">
      <alignment horizontal="left"/>
      <protection hidden="1"/>
    </xf>
    <xf numFmtId="0" fontId="0" fillId="0" borderId="61" xfId="0" applyBorder="1"/>
    <xf numFmtId="0" fontId="0" fillId="0" borderId="62" xfId="0" applyBorder="1"/>
    <xf numFmtId="0" fontId="43" fillId="0" borderId="62" xfId="0" applyFont="1" applyBorder="1"/>
    <xf numFmtId="0" fontId="43" fillId="0" borderId="62" xfId="0" applyFont="1" applyBorder="1" applyAlignment="1">
      <alignment horizontal="right"/>
    </xf>
    <xf numFmtId="3" fontId="43" fillId="0" borderId="62" xfId="0" applyNumberFormat="1" applyFont="1" applyBorder="1" applyAlignment="1">
      <alignment horizontal="right"/>
    </xf>
    <xf numFmtId="0" fontId="0" fillId="0" borderId="63" xfId="0" applyBorder="1"/>
    <xf numFmtId="0" fontId="44" fillId="0" borderId="64" xfId="0" applyFont="1" applyBorder="1"/>
    <xf numFmtId="0" fontId="44" fillId="0" borderId="7" xfId="0" applyFont="1" applyBorder="1"/>
    <xf numFmtId="0" fontId="43" fillId="0" borderId="7" xfId="0" applyFont="1" applyBorder="1" applyAlignment="1">
      <alignment horizontal="right"/>
    </xf>
    <xf numFmtId="0" fontId="44" fillId="0" borderId="65" xfId="0" applyFont="1" applyBorder="1"/>
    <xf numFmtId="0" fontId="44" fillId="0" borderId="0" xfId="0" applyFont="1"/>
    <xf numFmtId="0" fontId="44" fillId="0" borderId="0" xfId="0" applyFont="1" applyAlignment="1">
      <alignment horizontal="left"/>
    </xf>
    <xf numFmtId="0" fontId="46" fillId="0" borderId="0" xfId="0" applyFont="1" applyAlignment="1">
      <alignment horizontal="right"/>
    </xf>
    <xf numFmtId="0" fontId="0" fillId="0" borderId="64" xfId="0" applyBorder="1"/>
    <xf numFmtId="0" fontId="45" fillId="0" borderId="0" xfId="0" applyFont="1"/>
    <xf numFmtId="0" fontId="0" fillId="0" borderId="65" xfId="0" applyBorder="1"/>
    <xf numFmtId="0" fontId="0" fillId="0" borderId="5" xfId="0" applyBorder="1"/>
    <xf numFmtId="0" fontId="0" fillId="0" borderId="8" xfId="0" quotePrefix="1" applyBorder="1"/>
    <xf numFmtId="0" fontId="45" fillId="0" borderId="64" xfId="0" applyFont="1" applyBorder="1" applyAlignment="1">
      <alignment horizontal="left"/>
    </xf>
    <xf numFmtId="0" fontId="0" fillId="0" borderId="8" xfId="0" applyBorder="1"/>
    <xf numFmtId="43" fontId="45" fillId="0" borderId="0" xfId="2" applyFont="1" applyBorder="1" applyAlignment="1">
      <alignment horizontal="right"/>
    </xf>
    <xf numFmtId="0" fontId="46" fillId="0" borderId="0" xfId="0" applyFont="1"/>
    <xf numFmtId="0" fontId="46" fillId="0" borderId="65" xfId="0" applyFont="1" applyBorder="1"/>
    <xf numFmtId="0" fontId="0" fillId="0" borderId="66" xfId="0" applyBorder="1"/>
    <xf numFmtId="0" fontId="0" fillId="0" borderId="67" xfId="0" applyBorder="1"/>
    <xf numFmtId="0" fontId="0" fillId="0" borderId="68" xfId="0" applyBorder="1"/>
    <xf numFmtId="0" fontId="18" fillId="0" borderId="0" xfId="0" applyFont="1" applyAlignment="1" applyProtection="1">
      <alignment horizontal="left"/>
      <protection hidden="1"/>
    </xf>
    <xf numFmtId="1" fontId="4" fillId="0" borderId="0" xfId="0" applyNumberFormat="1" applyFont="1" applyAlignment="1" applyProtection="1">
      <alignment horizontal="left"/>
      <protection hidden="1"/>
    </xf>
    <xf numFmtId="0" fontId="1" fillId="0" borderId="61" xfId="0" applyFont="1" applyBorder="1" applyProtection="1">
      <protection hidden="1"/>
    </xf>
    <xf numFmtId="0" fontId="1" fillId="0" borderId="63" xfId="0" applyFont="1" applyBorder="1" applyProtection="1">
      <protection hidden="1"/>
    </xf>
    <xf numFmtId="0" fontId="1" fillId="0" borderId="64" xfId="0" applyFont="1" applyBorder="1" applyProtection="1">
      <protection hidden="1"/>
    </xf>
    <xf numFmtId="0" fontId="1" fillId="0" borderId="65" xfId="0" applyFont="1" applyBorder="1" applyProtection="1">
      <protection hidden="1"/>
    </xf>
    <xf numFmtId="0" fontId="3" fillId="0" borderId="0" xfId="0" applyFont="1" applyAlignment="1" applyProtection="1">
      <alignment horizontal="left"/>
      <protection locked="0"/>
    </xf>
    <xf numFmtId="0" fontId="1" fillId="0" borderId="0" xfId="0" applyFont="1" applyAlignment="1" applyProtection="1">
      <alignment horizontal="left"/>
      <protection hidden="1"/>
    </xf>
    <xf numFmtId="4" fontId="1" fillId="0" borderId="0" xfId="0" applyNumberFormat="1" applyFont="1" applyProtection="1">
      <protection hidden="1"/>
    </xf>
    <xf numFmtId="0" fontId="47" fillId="0" borderId="0" xfId="0" applyFont="1"/>
    <xf numFmtId="0" fontId="1" fillId="0" borderId="66" xfId="0" applyFont="1" applyBorder="1" applyProtection="1">
      <protection hidden="1"/>
    </xf>
    <xf numFmtId="0" fontId="1" fillId="0" borderId="67" xfId="0" applyFont="1" applyBorder="1" applyProtection="1">
      <protection hidden="1"/>
    </xf>
    <xf numFmtId="0" fontId="47" fillId="0" borderId="67" xfId="0" applyFont="1" applyBorder="1"/>
    <xf numFmtId="0" fontId="2" fillId="0" borderId="67" xfId="0" applyFont="1" applyBorder="1" applyAlignment="1" applyProtection="1">
      <alignment horizontal="center"/>
      <protection hidden="1"/>
    </xf>
    <xf numFmtId="0" fontId="1" fillId="0" borderId="68" xfId="0" applyFont="1" applyBorder="1" applyProtection="1">
      <protection hidden="1"/>
    </xf>
    <xf numFmtId="0" fontId="8" fillId="0" borderId="18" xfId="0" applyFont="1" applyBorder="1"/>
    <xf numFmtId="0" fontId="8" fillId="0" borderId="28" xfId="0" applyFont="1" applyBorder="1"/>
    <xf numFmtId="171" fontId="48" fillId="0" borderId="24" xfId="0" applyNumberFormat="1" applyFont="1" applyBorder="1" applyProtection="1">
      <protection locked="0"/>
    </xf>
    <xf numFmtId="171" fontId="8" fillId="0" borderId="26" xfId="0" applyNumberFormat="1" applyFont="1" applyBorder="1" applyProtection="1">
      <protection hidden="1"/>
    </xf>
    <xf numFmtId="0" fontId="8" fillId="0" borderId="26" xfId="0" applyFont="1" applyBorder="1" applyAlignment="1" applyProtection="1">
      <alignment horizontal="left"/>
      <protection locked="0"/>
    </xf>
    <xf numFmtId="0" fontId="8" fillId="0" borderId="27" xfId="0" applyFont="1" applyBorder="1" applyAlignment="1" applyProtection="1">
      <alignment horizontal="left"/>
      <protection locked="0"/>
    </xf>
    <xf numFmtId="3" fontId="48" fillId="0" borderId="25" xfId="0" applyNumberFormat="1" applyFont="1" applyBorder="1" applyProtection="1">
      <protection locked="0"/>
    </xf>
    <xf numFmtId="175" fontId="8" fillId="0" borderId="28" xfId="0" applyNumberFormat="1" applyFont="1" applyBorder="1" applyProtection="1">
      <protection hidden="1"/>
    </xf>
    <xf numFmtId="0" fontId="49" fillId="0" borderId="0" xfId="0" quotePrefix="1" applyFont="1"/>
    <xf numFmtId="0" fontId="49" fillId="0" borderId="0" xfId="0" applyFont="1"/>
    <xf numFmtId="4" fontId="4" fillId="3" borderId="0" xfId="0" applyNumberFormat="1" applyFont="1" applyFill="1" applyAlignment="1" applyProtection="1">
      <alignment horizontal="left"/>
      <protection hidden="1"/>
    </xf>
    <xf numFmtId="0" fontId="50" fillId="0" borderId="0" xfId="0" applyFont="1" applyAlignment="1">
      <alignment vertical="top"/>
    </xf>
    <xf numFmtId="0" fontId="3" fillId="0" borderId="0" xfId="0" applyFont="1" applyAlignment="1">
      <alignment vertical="top"/>
    </xf>
    <xf numFmtId="0" fontId="0" fillId="0" borderId="0" xfId="0" applyAlignment="1">
      <alignment vertical="top"/>
    </xf>
    <xf numFmtId="0" fontId="5" fillId="0" borderId="0" xfId="0" applyFont="1" applyAlignment="1">
      <alignment vertical="top"/>
    </xf>
    <xf numFmtId="14" fontId="5" fillId="0" borderId="0" xfId="0" applyNumberFormat="1" applyFont="1" applyAlignment="1">
      <alignment vertical="top"/>
    </xf>
    <xf numFmtId="0" fontId="53" fillId="0" borderId="0" xfId="0" applyFont="1" applyProtection="1">
      <protection hidden="1"/>
    </xf>
    <xf numFmtId="0" fontId="8" fillId="0" borderId="0" xfId="0" applyFont="1" applyAlignment="1" applyProtection="1">
      <alignment horizontal="right"/>
      <protection hidden="1"/>
    </xf>
    <xf numFmtId="0" fontId="6" fillId="0" borderId="61" xfId="0" applyFont="1" applyBorder="1" applyProtection="1">
      <protection hidden="1"/>
    </xf>
    <xf numFmtId="0" fontId="6" fillId="0" borderId="62" xfId="0" applyFont="1" applyBorder="1" applyProtection="1">
      <protection hidden="1"/>
    </xf>
    <xf numFmtId="0" fontId="6" fillId="0" borderId="62" xfId="0" applyFont="1" applyBorder="1" applyAlignment="1" applyProtection="1">
      <alignment horizontal="right"/>
      <protection hidden="1"/>
    </xf>
    <xf numFmtId="0" fontId="6" fillId="0" borderId="63" xfId="0" applyFont="1" applyBorder="1" applyProtection="1">
      <protection hidden="1"/>
    </xf>
    <xf numFmtId="0" fontId="6" fillId="0" borderId="64" xfId="0" applyFont="1" applyBorder="1" applyProtection="1">
      <protection hidden="1"/>
    </xf>
    <xf numFmtId="0" fontId="6" fillId="0" borderId="65" xfId="0" applyFont="1" applyBorder="1" applyProtection="1">
      <protection hidden="1"/>
    </xf>
    <xf numFmtId="0" fontId="7" fillId="0" borderId="64" xfId="0" applyFont="1" applyBorder="1" applyProtection="1">
      <protection hidden="1"/>
    </xf>
    <xf numFmtId="177" fontId="52" fillId="0" borderId="64" xfId="0" applyNumberFormat="1" applyFont="1" applyBorder="1" applyProtection="1">
      <protection hidden="1"/>
    </xf>
    <xf numFmtId="0" fontId="6" fillId="0" borderId="66" xfId="0" applyFont="1" applyBorder="1" applyProtection="1">
      <protection hidden="1"/>
    </xf>
    <xf numFmtId="0" fontId="6" fillId="0" borderId="67" xfId="0" applyFont="1" applyBorder="1" applyProtection="1">
      <protection hidden="1"/>
    </xf>
    <xf numFmtId="0" fontId="6" fillId="0" borderId="67" xfId="0" applyFont="1" applyBorder="1" applyAlignment="1" applyProtection="1">
      <alignment horizontal="right"/>
      <protection hidden="1"/>
    </xf>
    <xf numFmtId="0" fontId="6" fillId="0" borderId="68" xfId="0" applyFont="1" applyBorder="1" applyProtection="1">
      <protection hidden="1"/>
    </xf>
    <xf numFmtId="0" fontId="43" fillId="0" borderId="0" xfId="0" applyFont="1" applyProtection="1">
      <protection hidden="1"/>
    </xf>
    <xf numFmtId="0" fontId="4" fillId="0" borderId="0" xfId="0" applyFont="1" applyAlignment="1" applyProtection="1">
      <alignment horizontal="left"/>
      <protection hidden="1"/>
    </xf>
    <xf numFmtId="0" fontId="58" fillId="0" borderId="0" xfId="0" applyFont="1" applyProtection="1">
      <protection hidden="1"/>
    </xf>
    <xf numFmtId="0" fontId="8" fillId="0" borderId="0" xfId="0" applyFont="1" applyAlignment="1">
      <alignment vertical="center"/>
    </xf>
    <xf numFmtId="0" fontId="38" fillId="0" borderId="0" xfId="0" applyFont="1" applyAlignment="1">
      <alignment vertical="center" wrapText="1"/>
    </xf>
    <xf numFmtId="0" fontId="0" fillId="0" borderId="1" xfId="0" applyBorder="1" applyProtection="1">
      <protection hidden="1"/>
    </xf>
    <xf numFmtId="0" fontId="0" fillId="0" borderId="4" xfId="0" applyBorder="1" applyProtection="1">
      <protection hidden="1"/>
    </xf>
    <xf numFmtId="0" fontId="0" fillId="0" borderId="2" xfId="0" applyBorder="1" applyProtection="1">
      <protection hidden="1"/>
    </xf>
    <xf numFmtId="0" fontId="0" fillId="0" borderId="6" xfId="0" applyBorder="1"/>
    <xf numFmtId="0" fontId="60" fillId="0" borderId="0" xfId="0" applyFont="1" applyProtection="1">
      <protection hidden="1"/>
    </xf>
    <xf numFmtId="0" fontId="61" fillId="0" borderId="0" xfId="0" applyFont="1" applyProtection="1">
      <protection hidden="1"/>
    </xf>
    <xf numFmtId="0" fontId="62" fillId="0" borderId="0" xfId="0" applyFont="1" applyProtection="1">
      <protection hidden="1"/>
    </xf>
    <xf numFmtId="0" fontId="62" fillId="0" borderId="0" xfId="0" applyFont="1" applyAlignment="1" applyProtection="1">
      <alignment horizontal="left"/>
      <protection hidden="1"/>
    </xf>
    <xf numFmtId="0" fontId="63" fillId="0" borderId="0" xfId="0" applyFont="1" applyProtection="1">
      <protection hidden="1"/>
    </xf>
    <xf numFmtId="0" fontId="12" fillId="0" borderId="0" xfId="0" applyFont="1" applyProtection="1">
      <protection hidden="1"/>
    </xf>
    <xf numFmtId="14" fontId="4" fillId="0" borderId="0" xfId="0" applyNumberFormat="1" applyFont="1" applyProtection="1">
      <protection hidden="1"/>
    </xf>
    <xf numFmtId="0" fontId="4" fillId="0" borderId="69" xfId="0" applyFont="1" applyBorder="1" applyProtection="1">
      <protection hidden="1"/>
    </xf>
    <xf numFmtId="0" fontId="4" fillId="5" borderId="71" xfId="0" applyFont="1" applyFill="1" applyBorder="1"/>
    <xf numFmtId="0" fontId="4" fillId="5" borderId="72" xfId="0" applyFont="1" applyFill="1" applyBorder="1"/>
    <xf numFmtId="0" fontId="4" fillId="0" borderId="71" xfId="0" applyFont="1" applyBorder="1"/>
    <xf numFmtId="0" fontId="4" fillId="0" borderId="73" xfId="0" applyFont="1" applyBorder="1"/>
    <xf numFmtId="0" fontId="4" fillId="0" borderId="72" xfId="0" applyFont="1" applyBorder="1"/>
    <xf numFmtId="0" fontId="4" fillId="5" borderId="73" xfId="0" applyFont="1" applyFill="1" applyBorder="1"/>
    <xf numFmtId="0" fontId="29" fillId="0" borderId="2" xfId="0" applyFont="1" applyBorder="1" applyProtection="1">
      <protection hidden="1"/>
    </xf>
    <xf numFmtId="0" fontId="43" fillId="0" borderId="75" xfId="0" applyFont="1" applyBorder="1"/>
    <xf numFmtId="0" fontId="4" fillId="0" borderId="77" xfId="0" applyFont="1" applyBorder="1"/>
    <xf numFmtId="0" fontId="4" fillId="0" borderId="76" xfId="0" applyFont="1" applyBorder="1"/>
    <xf numFmtId="0" fontId="22" fillId="5" borderId="78" xfId="0" applyFont="1" applyFill="1" applyBorder="1" applyProtection="1">
      <protection hidden="1"/>
    </xf>
    <xf numFmtId="0" fontId="21" fillId="5" borderId="0" xfId="0" applyFont="1" applyFill="1" applyProtection="1">
      <protection hidden="1"/>
    </xf>
    <xf numFmtId="0" fontId="32" fillId="5" borderId="0" xfId="0" applyFont="1" applyFill="1" applyAlignment="1" applyProtection="1">
      <alignment horizontal="right"/>
      <protection hidden="1"/>
    </xf>
    <xf numFmtId="0" fontId="4" fillId="5" borderId="0" xfId="0" applyFont="1" applyFill="1" applyProtection="1">
      <protection hidden="1"/>
    </xf>
    <xf numFmtId="0" fontId="60" fillId="0" borderId="78" xfId="0" applyFont="1" applyBorder="1" applyProtection="1">
      <protection hidden="1"/>
    </xf>
    <xf numFmtId="0" fontId="63" fillId="0" borderId="0" xfId="0" applyFont="1" applyAlignment="1" applyProtection="1">
      <alignment horizontal="right"/>
      <protection hidden="1"/>
    </xf>
    <xf numFmtId="0" fontId="4" fillId="0" borderId="80" xfId="0" applyFont="1" applyBorder="1"/>
    <xf numFmtId="0" fontId="63" fillId="5" borderId="0" xfId="0" applyFont="1" applyFill="1" applyAlignment="1" applyProtection="1">
      <alignment horizontal="right"/>
      <protection hidden="1"/>
    </xf>
    <xf numFmtId="0" fontId="16" fillId="5" borderId="0" xfId="0" applyFont="1" applyFill="1" applyProtection="1">
      <protection hidden="1"/>
    </xf>
    <xf numFmtId="0" fontId="64" fillId="0" borderId="0" xfId="0" applyFont="1" applyAlignment="1" applyProtection="1">
      <alignment horizontal="right"/>
      <protection hidden="1"/>
    </xf>
    <xf numFmtId="0" fontId="61" fillId="5" borderId="83" xfId="0" applyFont="1" applyFill="1" applyBorder="1" applyProtection="1">
      <protection hidden="1"/>
    </xf>
    <xf numFmtId="0" fontId="64" fillId="5" borderId="83" xfId="0" applyFont="1" applyFill="1" applyBorder="1" applyAlignment="1" applyProtection="1">
      <alignment horizontal="right"/>
      <protection hidden="1"/>
    </xf>
    <xf numFmtId="0" fontId="17" fillId="5" borderId="83" xfId="0" applyFont="1" applyFill="1" applyBorder="1" applyProtection="1">
      <protection hidden="1"/>
    </xf>
    <xf numFmtId="0" fontId="0" fillId="0" borderId="3" xfId="0" applyBorder="1" applyProtection="1">
      <protection hidden="1"/>
    </xf>
    <xf numFmtId="0" fontId="0" fillId="0" borderId="7" xfId="0" applyBorder="1" applyProtection="1">
      <protection hidden="1"/>
    </xf>
    <xf numFmtId="0" fontId="65" fillId="0" borderId="0" xfId="1" applyFont="1" applyBorder="1"/>
    <xf numFmtId="0" fontId="51" fillId="0" borderId="0" xfId="0" applyFont="1" applyAlignment="1" applyProtection="1">
      <alignment horizontal="right"/>
      <protection hidden="1"/>
    </xf>
    <xf numFmtId="0" fontId="51" fillId="0" borderId="0" xfId="0" applyFont="1" applyAlignment="1" applyProtection="1">
      <alignment horizontal="left"/>
      <protection hidden="1"/>
    </xf>
    <xf numFmtId="0" fontId="4" fillId="3" borderId="0" xfId="0" applyFont="1" applyFill="1" applyProtection="1">
      <protection hidden="1"/>
    </xf>
    <xf numFmtId="0" fontId="4" fillId="3" borderId="0" xfId="0" applyFont="1" applyFill="1" applyAlignment="1" applyProtection="1">
      <alignment horizontal="right"/>
      <protection hidden="1"/>
    </xf>
    <xf numFmtId="0" fontId="5" fillId="3" borderId="0" xfId="0" applyFont="1" applyFill="1"/>
    <xf numFmtId="0" fontId="4" fillId="0" borderId="6" xfId="0" applyFont="1" applyBorder="1"/>
    <xf numFmtId="0" fontId="11" fillId="0" borderId="0" xfId="0" applyFont="1" applyAlignment="1">
      <alignment vertical="center" wrapText="1"/>
    </xf>
    <xf numFmtId="0" fontId="66" fillId="0" borderId="0" xfId="0" applyFont="1" applyAlignment="1">
      <alignment horizontal="center" vertical="center"/>
    </xf>
    <xf numFmtId="0" fontId="67" fillId="0" borderId="0" xfId="0" applyFont="1" applyProtection="1">
      <protection hidden="1"/>
    </xf>
    <xf numFmtId="0" fontId="68" fillId="0" borderId="0" xfId="0" applyFont="1" applyProtection="1">
      <protection hidden="1"/>
    </xf>
    <xf numFmtId="4" fontId="4" fillId="3" borderId="0" xfId="0" applyNumberFormat="1" applyFont="1" applyFill="1" applyProtection="1">
      <protection hidden="1"/>
    </xf>
    <xf numFmtId="0" fontId="16" fillId="0" borderId="86" xfId="0" applyFont="1" applyBorder="1" applyProtection="1">
      <protection hidden="1"/>
    </xf>
    <xf numFmtId="170" fontId="8" fillId="0" borderId="86" xfId="0" applyNumberFormat="1" applyFont="1" applyBorder="1"/>
    <xf numFmtId="0" fontId="4" fillId="0" borderId="86" xfId="0" applyFont="1" applyBorder="1"/>
    <xf numFmtId="0" fontId="12" fillId="0" borderId="86" xfId="0" applyFont="1" applyBorder="1"/>
    <xf numFmtId="0" fontId="4" fillId="0" borderId="85" xfId="0" applyFont="1" applyBorder="1"/>
    <xf numFmtId="0" fontId="3" fillId="0" borderId="0" xfId="0" applyFont="1" applyAlignment="1" applyProtection="1">
      <alignment horizontal="left"/>
      <protection hidden="1"/>
    </xf>
    <xf numFmtId="0" fontId="3" fillId="0" borderId="0" xfId="0" applyFont="1" applyAlignment="1">
      <alignment horizontal="left"/>
    </xf>
    <xf numFmtId="0" fontId="1" fillId="0" borderId="67" xfId="0" applyFont="1" applyBorder="1" applyAlignment="1" applyProtection="1">
      <alignment horizontal="left"/>
      <protection hidden="1"/>
    </xf>
    <xf numFmtId="0" fontId="0" fillId="0" borderId="2" xfId="0" applyBorder="1" applyAlignment="1" applyProtection="1">
      <alignment vertical="top"/>
      <protection hidden="1"/>
    </xf>
    <xf numFmtId="0" fontId="60" fillId="4" borderId="70" xfId="0" applyFont="1" applyFill="1" applyBorder="1" applyAlignment="1" applyProtection="1">
      <alignment vertical="top"/>
      <protection hidden="1"/>
    </xf>
    <xf numFmtId="0" fontId="60" fillId="4" borderId="71" xfId="0" applyFont="1" applyFill="1" applyBorder="1" applyAlignment="1" applyProtection="1">
      <alignment vertical="top"/>
      <protection hidden="1"/>
    </xf>
    <xf numFmtId="0" fontId="60" fillId="4" borderId="72" xfId="0" applyFont="1" applyFill="1" applyBorder="1" applyAlignment="1" applyProtection="1">
      <alignment vertical="top"/>
      <protection hidden="1"/>
    </xf>
    <xf numFmtId="0" fontId="60" fillId="4" borderId="70" xfId="0" applyFont="1" applyFill="1" applyBorder="1" applyAlignment="1" applyProtection="1">
      <alignment horizontal="left" vertical="top"/>
      <protection hidden="1"/>
    </xf>
    <xf numFmtId="0" fontId="60" fillId="4" borderId="70" xfId="0" applyFont="1" applyFill="1" applyBorder="1" applyAlignment="1" applyProtection="1">
      <alignment horizontal="center" vertical="top"/>
      <protection hidden="1"/>
    </xf>
    <xf numFmtId="0" fontId="8" fillId="0" borderId="27" xfId="0" applyFont="1" applyBorder="1" applyAlignment="1" applyProtection="1">
      <alignment horizontal="left"/>
      <protection hidden="1"/>
    </xf>
    <xf numFmtId="9" fontId="54" fillId="0" borderId="27" xfId="0" applyNumberFormat="1" applyFont="1" applyBorder="1" applyAlignment="1" applyProtection="1">
      <alignment horizontal="left"/>
      <protection locked="0"/>
    </xf>
    <xf numFmtId="0" fontId="12" fillId="0" borderId="0" xfId="0" applyFont="1" applyAlignment="1">
      <alignment vertical="top"/>
    </xf>
    <xf numFmtId="0" fontId="5" fillId="0" borderId="0" xfId="0" applyFont="1" applyAlignment="1">
      <alignment horizontal="left"/>
    </xf>
    <xf numFmtId="2" fontId="5" fillId="0" borderId="0" xfId="0" applyNumberFormat="1" applyFont="1" applyAlignment="1">
      <alignment horizontal="right"/>
    </xf>
    <xf numFmtId="170" fontId="5" fillId="0" borderId="0" xfId="0" applyNumberFormat="1" applyFont="1"/>
    <xf numFmtId="0" fontId="5" fillId="0" borderId="2" xfId="0" applyFont="1" applyBorder="1"/>
    <xf numFmtId="0" fontId="4" fillId="0" borderId="0" xfId="0" applyFont="1" applyAlignment="1">
      <alignment vertical="top"/>
    </xf>
    <xf numFmtId="4" fontId="4" fillId="0" borderId="0" xfId="0" applyNumberFormat="1" applyFont="1"/>
    <xf numFmtId="0" fontId="4" fillId="0" borderId="7" xfId="0" applyFont="1" applyBorder="1" applyAlignment="1">
      <alignment horizontal="right"/>
    </xf>
    <xf numFmtId="9" fontId="4" fillId="0" borderId="7" xfId="0" applyNumberFormat="1" applyFont="1" applyBorder="1"/>
    <xf numFmtId="0" fontId="4" fillId="0" borderId="0" xfId="0" quotePrefix="1" applyFont="1" applyAlignment="1">
      <alignment horizontal="right"/>
    </xf>
    <xf numFmtId="0" fontId="50" fillId="0" borderId="0" xfId="0" applyFont="1" applyAlignment="1">
      <alignment horizontal="center"/>
    </xf>
    <xf numFmtId="179" fontId="4" fillId="0" borderId="0" xfId="0" applyNumberFormat="1" applyFont="1"/>
    <xf numFmtId="0" fontId="3" fillId="0" borderId="0" xfId="0" quotePrefix="1" applyFont="1" applyAlignment="1">
      <alignment horizontal="center"/>
    </xf>
    <xf numFmtId="0" fontId="4" fillId="0" borderId="0" xfId="0" applyFont="1" applyAlignment="1">
      <alignment horizontal="center"/>
    </xf>
    <xf numFmtId="0" fontId="69" fillId="0" borderId="0" xfId="0" applyFont="1"/>
    <xf numFmtId="4" fontId="69" fillId="0" borderId="0" xfId="0" applyNumberFormat="1" applyFont="1"/>
    <xf numFmtId="0" fontId="4" fillId="0" borderId="0" xfId="0" applyFont="1" applyAlignment="1">
      <alignment horizontal="right"/>
    </xf>
    <xf numFmtId="0" fontId="4" fillId="0" borderId="0" xfId="0" quotePrefix="1" applyFont="1"/>
    <xf numFmtId="173" fontId="4" fillId="0" borderId="0" xfId="0" applyNumberFormat="1" applyFont="1"/>
    <xf numFmtId="0" fontId="43" fillId="0" borderId="0" xfId="0" applyFont="1"/>
    <xf numFmtId="4" fontId="4" fillId="0" borderId="7" xfId="0" applyNumberFormat="1" applyFont="1" applyBorder="1"/>
    <xf numFmtId="0" fontId="4" fillId="3" borderId="0" xfId="0" applyFont="1" applyFill="1" applyAlignment="1" applyProtection="1">
      <alignment horizontal="left"/>
      <protection hidden="1"/>
    </xf>
    <xf numFmtId="0" fontId="5" fillId="3" borderId="0" xfId="0" applyFont="1" applyFill="1" applyAlignment="1">
      <alignment horizontal="left"/>
    </xf>
    <xf numFmtId="0" fontId="8" fillId="0" borderId="0" xfId="0" applyFont="1" applyAlignment="1">
      <alignment vertical="top"/>
    </xf>
    <xf numFmtId="14" fontId="4" fillId="0" borderId="0" xfId="0" applyNumberFormat="1" applyFont="1" applyAlignment="1">
      <alignment vertical="top"/>
    </xf>
    <xf numFmtId="0" fontId="38" fillId="0" borderId="0" xfId="0" applyFont="1" applyAlignment="1">
      <alignment vertical="top"/>
    </xf>
    <xf numFmtId="0" fontId="70" fillId="0" borderId="0" xfId="0" applyFont="1"/>
    <xf numFmtId="0" fontId="17" fillId="0" borderId="0" xfId="0" applyFont="1" applyAlignment="1" applyProtection="1">
      <alignment horizontal="right"/>
      <protection hidden="1"/>
    </xf>
    <xf numFmtId="0" fontId="8" fillId="0" borderId="18" xfId="0" quotePrefix="1" applyFont="1" applyBorder="1"/>
    <xf numFmtId="0" fontId="3" fillId="0" borderId="41" xfId="0" applyFont="1" applyBorder="1"/>
    <xf numFmtId="0" fontId="61" fillId="5" borderId="78" xfId="0" applyFont="1" applyFill="1" applyBorder="1" applyProtection="1">
      <protection hidden="1"/>
    </xf>
    <xf numFmtId="0" fontId="61" fillId="5" borderId="0" xfId="0" applyFont="1" applyFill="1" applyProtection="1">
      <protection hidden="1"/>
    </xf>
    <xf numFmtId="0" fontId="64" fillId="5" borderId="0" xfId="0" applyFont="1" applyFill="1" applyAlignment="1" applyProtection="1">
      <alignment horizontal="right"/>
      <protection hidden="1"/>
    </xf>
    <xf numFmtId="0" fontId="61" fillId="0" borderId="78" xfId="0" applyFont="1" applyBorder="1" applyProtection="1">
      <protection hidden="1"/>
    </xf>
    <xf numFmtId="0" fontId="61" fillId="5" borderId="82" xfId="0" applyFont="1" applyFill="1" applyBorder="1" applyProtection="1">
      <protection hidden="1"/>
    </xf>
    <xf numFmtId="1" fontId="61" fillId="5" borderId="83" xfId="0" applyNumberFormat="1" applyFont="1" applyFill="1" applyBorder="1" applyProtection="1">
      <protection hidden="1"/>
    </xf>
    <xf numFmtId="0" fontId="61" fillId="5" borderId="83" xfId="0" applyFont="1" applyFill="1" applyBorder="1" applyAlignment="1" applyProtection="1">
      <alignment horizontal="right"/>
      <protection hidden="1"/>
    </xf>
    <xf numFmtId="0" fontId="71" fillId="5" borderId="7" xfId="0" applyFont="1" applyFill="1" applyBorder="1"/>
    <xf numFmtId="1" fontId="61" fillId="0" borderId="0" xfId="0" applyNumberFormat="1" applyFont="1" applyProtection="1">
      <protection hidden="1"/>
    </xf>
    <xf numFmtId="180" fontId="4" fillId="0" borderId="0" xfId="0" applyNumberFormat="1" applyFont="1" applyAlignment="1" applyProtection="1">
      <alignment horizontal="left"/>
      <protection hidden="1"/>
    </xf>
    <xf numFmtId="180" fontId="4" fillId="3" borderId="0" xfId="0" applyNumberFormat="1" applyFont="1" applyFill="1" applyAlignment="1" applyProtection="1">
      <alignment horizontal="center"/>
      <protection hidden="1"/>
    </xf>
    <xf numFmtId="0" fontId="4" fillId="0" borderId="88" xfId="0" applyFont="1" applyBorder="1"/>
    <xf numFmtId="182" fontId="5" fillId="0" borderId="0" xfId="0" applyNumberFormat="1" applyFont="1"/>
    <xf numFmtId="180" fontId="5" fillId="0" borderId="0" xfId="0" applyNumberFormat="1" applyFont="1" applyAlignment="1">
      <alignment horizontal="right"/>
    </xf>
    <xf numFmtId="180" fontId="5" fillId="0" borderId="7" xfId="0" applyNumberFormat="1" applyFont="1" applyBorder="1"/>
    <xf numFmtId="180" fontId="5" fillId="0" borderId="0" xfId="0" applyNumberFormat="1" applyFont="1"/>
    <xf numFmtId="180" fontId="4" fillId="0" borderId="0" xfId="0" applyNumberFormat="1" applyFont="1"/>
    <xf numFmtId="0" fontId="5" fillId="0" borderId="7" xfId="0" quotePrefix="1" applyFont="1" applyBorder="1"/>
    <xf numFmtId="170" fontId="5" fillId="0" borderId="7" xfId="0" applyNumberFormat="1" applyFont="1" applyBorder="1"/>
    <xf numFmtId="0" fontId="8" fillId="0" borderId="27" xfId="0" quotePrefix="1" applyFont="1" applyBorder="1" applyAlignment="1" applyProtection="1">
      <alignment horizontal="left"/>
      <protection locked="0"/>
    </xf>
    <xf numFmtId="0" fontId="55" fillId="0" borderId="0" xfId="0" applyFont="1" applyAlignment="1" applyProtection="1">
      <alignment horizontal="left"/>
      <protection hidden="1"/>
    </xf>
    <xf numFmtId="0" fontId="6" fillId="0" borderId="0" xfId="0" applyFont="1" applyAlignment="1" applyProtection="1">
      <alignment horizontal="right"/>
      <protection hidden="1"/>
    </xf>
    <xf numFmtId="0" fontId="72" fillId="0" borderId="64" xfId="0" applyFont="1" applyBorder="1" applyAlignment="1" applyProtection="1">
      <alignment horizontal="left"/>
      <protection hidden="1"/>
    </xf>
    <xf numFmtId="0" fontId="52" fillId="0" borderId="0" xfId="0" applyFont="1" applyAlignment="1" applyProtection="1">
      <alignment horizontal="left"/>
      <protection hidden="1"/>
    </xf>
    <xf numFmtId="0" fontId="51" fillId="0" borderId="0" xfId="0" applyFont="1" applyProtection="1">
      <protection hidden="1"/>
    </xf>
    <xf numFmtId="0" fontId="52" fillId="0" borderId="0" xfId="0" applyFont="1" applyProtection="1">
      <protection hidden="1"/>
    </xf>
    <xf numFmtId="0" fontId="56" fillId="0" borderId="0" xfId="0" applyFont="1" applyProtection="1">
      <protection hidden="1"/>
    </xf>
    <xf numFmtId="0" fontId="51" fillId="0" borderId="0" xfId="0" applyFont="1" applyAlignment="1" applyProtection="1">
      <alignment horizontal="left"/>
      <protection locked="0"/>
    </xf>
    <xf numFmtId="0" fontId="12" fillId="0" borderId="0" xfId="0" applyFont="1" applyAlignment="1" applyProtection="1">
      <alignment horizontal="left"/>
      <protection hidden="1"/>
    </xf>
    <xf numFmtId="0" fontId="50" fillId="0" borderId="0" xfId="0" applyFont="1" applyProtection="1">
      <protection hidden="1"/>
    </xf>
    <xf numFmtId="0" fontId="50" fillId="0" borderId="0" xfId="0" applyFont="1" applyAlignment="1" applyProtection="1">
      <alignment horizontal="right"/>
      <protection hidden="1"/>
    </xf>
    <xf numFmtId="0" fontId="12" fillId="0" borderId="0" xfId="0" applyFont="1" applyAlignment="1" applyProtection="1">
      <alignment horizontal="right"/>
      <protection hidden="1"/>
    </xf>
    <xf numFmtId="0" fontId="12" fillId="0" borderId="0" xfId="1" applyFont="1" applyBorder="1"/>
    <xf numFmtId="0" fontId="74" fillId="0" borderId="64" xfId="0" applyFont="1" applyBorder="1" applyProtection="1">
      <protection hidden="1"/>
    </xf>
    <xf numFmtId="0" fontId="73" fillId="0" borderId="0" xfId="0" applyFont="1" applyAlignment="1" applyProtection="1">
      <alignment horizontal="right"/>
      <protection hidden="1"/>
    </xf>
    <xf numFmtId="14" fontId="51" fillId="0" borderId="0" xfId="0" applyNumberFormat="1" applyFont="1" applyAlignment="1">
      <alignment horizontal="right"/>
    </xf>
    <xf numFmtId="0" fontId="73" fillId="0" borderId="0" xfId="0" applyFont="1" applyAlignment="1" applyProtection="1">
      <alignment horizontal="left"/>
      <protection hidden="1"/>
    </xf>
    <xf numFmtId="0" fontId="57" fillId="0" borderId="0" xfId="0" applyFont="1" applyAlignment="1" applyProtection="1">
      <alignment horizontal="left"/>
      <protection hidden="1"/>
    </xf>
    <xf numFmtId="0" fontId="73" fillId="0" borderId="0" xfId="0" applyFont="1" applyProtection="1">
      <protection hidden="1"/>
    </xf>
    <xf numFmtId="0" fontId="75" fillId="0" borderId="65" xfId="0" applyFont="1" applyBorder="1" applyProtection="1">
      <protection hidden="1"/>
    </xf>
    <xf numFmtId="177" fontId="12" fillId="0" borderId="0" xfId="0" applyNumberFormat="1" applyFont="1" applyProtection="1">
      <protection locked="0"/>
    </xf>
    <xf numFmtId="0" fontId="12" fillId="0" borderId="0" xfId="0" applyFont="1" applyProtection="1">
      <protection locked="0"/>
    </xf>
    <xf numFmtId="0" fontId="12" fillId="0" borderId="0" xfId="0" applyFont="1" applyAlignment="1" applyProtection="1">
      <alignment horizontal="left"/>
      <protection locked="0"/>
    </xf>
    <xf numFmtId="0" fontId="12" fillId="0" borderId="0" xfId="0" applyFont="1" applyAlignment="1" applyProtection="1">
      <alignment horizontal="right"/>
      <protection locked="0"/>
    </xf>
    <xf numFmtId="0" fontId="12" fillId="0" borderId="0" xfId="0" quotePrefix="1" applyFont="1" applyAlignment="1" applyProtection="1">
      <alignment horizontal="right"/>
      <protection locked="0"/>
    </xf>
    <xf numFmtId="177" fontId="77" fillId="0" borderId="0" xfId="0" applyNumberFormat="1" applyFont="1" applyProtection="1">
      <protection locked="0"/>
    </xf>
    <xf numFmtId="177" fontId="77" fillId="0" borderId="0" xfId="0" applyNumberFormat="1" applyFont="1" applyProtection="1">
      <protection hidden="1"/>
    </xf>
    <xf numFmtId="177" fontId="12" fillId="0" borderId="0" xfId="0" applyNumberFormat="1" applyFont="1" applyProtection="1">
      <protection hidden="1"/>
    </xf>
    <xf numFmtId="177" fontId="50" fillId="0" borderId="0" xfId="0" applyNumberFormat="1" applyFont="1" applyAlignment="1" applyProtection="1">
      <alignment horizontal="left"/>
      <protection hidden="1"/>
    </xf>
    <xf numFmtId="0" fontId="78" fillId="0" borderId="0" xfId="0" applyFont="1" applyAlignment="1" applyProtection="1">
      <alignment horizontal="right" vertical="center"/>
      <protection hidden="1"/>
    </xf>
    <xf numFmtId="0" fontId="78" fillId="0" borderId="0" xfId="0" applyFont="1" applyAlignment="1" applyProtection="1">
      <alignment vertical="center"/>
      <protection hidden="1"/>
    </xf>
    <xf numFmtId="4" fontId="12" fillId="0" borderId="0" xfId="0" applyNumberFormat="1" applyFont="1" applyAlignment="1" applyProtection="1">
      <alignment vertical="center"/>
      <protection hidden="1"/>
    </xf>
    <xf numFmtId="1" fontId="12" fillId="0" borderId="0" xfId="0" applyNumberFormat="1" applyFont="1" applyAlignment="1" applyProtection="1">
      <alignment horizontal="right"/>
      <protection hidden="1"/>
    </xf>
    <xf numFmtId="0" fontId="76" fillId="0" borderId="0" xfId="0" applyFont="1" applyAlignment="1" applyProtection="1">
      <alignment horizontal="right"/>
      <protection hidden="1"/>
    </xf>
    <xf numFmtId="0" fontId="76" fillId="0" borderId="0" xfId="0" applyFont="1" applyAlignment="1" applyProtection="1">
      <alignment horizontal="left"/>
      <protection hidden="1"/>
    </xf>
    <xf numFmtId="0" fontId="11" fillId="0" borderId="0" xfId="0" applyFont="1"/>
    <xf numFmtId="14" fontId="1" fillId="0" borderId="0" xfId="0" applyNumberFormat="1" applyFont="1" applyProtection="1">
      <protection hidden="1"/>
    </xf>
    <xf numFmtId="0" fontId="81" fillId="7" borderId="89" xfId="0" applyFont="1" applyFill="1" applyBorder="1" applyAlignment="1" applyProtection="1">
      <alignment horizontal="left"/>
      <protection hidden="1"/>
    </xf>
    <xf numFmtId="0" fontId="82" fillId="7" borderId="94" xfId="0" applyFont="1" applyFill="1" applyBorder="1" applyAlignment="1" applyProtection="1">
      <alignment horizontal="left"/>
      <protection hidden="1"/>
    </xf>
    <xf numFmtId="0" fontId="83" fillId="7" borderId="94" xfId="0" applyFont="1" applyFill="1" applyBorder="1" applyAlignment="1" applyProtection="1">
      <alignment horizontal="left"/>
      <protection hidden="1"/>
    </xf>
    <xf numFmtId="0" fontId="81" fillId="7" borderId="94" xfId="0" applyFont="1" applyFill="1" applyBorder="1" applyAlignment="1" applyProtection="1">
      <alignment horizontal="left"/>
      <protection hidden="1"/>
    </xf>
    <xf numFmtId="0" fontId="84" fillId="7" borderId="0" xfId="0" applyFont="1" applyFill="1" applyAlignment="1" applyProtection="1">
      <alignment horizontal="left"/>
      <protection hidden="1"/>
    </xf>
    <xf numFmtId="0" fontId="84" fillId="7" borderId="0" xfId="0" applyFont="1" applyFill="1" applyAlignment="1" applyProtection="1">
      <alignment horizontal="right"/>
      <protection hidden="1"/>
    </xf>
    <xf numFmtId="0" fontId="84" fillId="7" borderId="10" xfId="0" applyFont="1" applyFill="1" applyBorder="1" applyProtection="1">
      <protection locked="0"/>
    </xf>
    <xf numFmtId="0" fontId="84" fillId="7" borderId="10" xfId="0" applyFont="1" applyFill="1" applyBorder="1" applyAlignment="1" applyProtection="1">
      <alignment horizontal="right"/>
      <protection hidden="1"/>
    </xf>
    <xf numFmtId="0" fontId="84" fillId="7" borderId="10" xfId="0" applyFont="1" applyFill="1" applyBorder="1" applyAlignment="1" applyProtection="1">
      <alignment horizontal="left" wrapText="1"/>
      <protection hidden="1"/>
    </xf>
    <xf numFmtId="176" fontId="84" fillId="7" borderId="11" xfId="0" applyNumberFormat="1" applyFont="1" applyFill="1" applyBorder="1" applyAlignment="1" applyProtection="1">
      <alignment horizontal="right"/>
      <protection locked="0"/>
    </xf>
    <xf numFmtId="0" fontId="85" fillId="0" borderId="0" xfId="0" applyFont="1" applyAlignment="1" applyProtection="1">
      <alignment horizontal="left"/>
      <protection hidden="1"/>
    </xf>
    <xf numFmtId="0" fontId="85" fillId="0" borderId="0" xfId="0" applyFont="1" applyAlignment="1" applyProtection="1">
      <alignment horizontal="right"/>
      <protection hidden="1"/>
    </xf>
    <xf numFmtId="0" fontId="85" fillId="0" borderId="0" xfId="0" applyFont="1" applyProtection="1">
      <protection hidden="1"/>
    </xf>
    <xf numFmtId="177" fontId="12" fillId="0" borderId="0" xfId="0" applyNumberFormat="1" applyFont="1" applyAlignment="1" applyProtection="1">
      <alignment horizontal="right"/>
      <protection locked="0"/>
    </xf>
    <xf numFmtId="0" fontId="54" fillId="0" borderId="0" xfId="0" applyFont="1" applyAlignment="1" applyProtection="1">
      <alignment horizontal="left"/>
      <protection hidden="1"/>
    </xf>
    <xf numFmtId="0" fontId="12" fillId="0" borderId="0" xfId="0" applyFont="1" applyAlignment="1" applyProtection="1">
      <alignment horizontal="center"/>
      <protection hidden="1"/>
    </xf>
    <xf numFmtId="0" fontId="12" fillId="0" borderId="0" xfId="0" applyFont="1" applyAlignment="1" applyProtection="1">
      <alignment vertical="top"/>
      <protection hidden="1"/>
    </xf>
    <xf numFmtId="0" fontId="12" fillId="0" borderId="0" xfId="0" applyFont="1" applyAlignment="1" applyProtection="1">
      <alignment horizontal="left" vertical="top"/>
      <protection hidden="1"/>
    </xf>
    <xf numFmtId="4" fontId="12" fillId="0" borderId="0" xfId="0" applyNumberFormat="1" applyFont="1" applyAlignment="1" applyProtection="1">
      <alignment horizontal="right" wrapText="1"/>
      <protection hidden="1"/>
    </xf>
    <xf numFmtId="4" fontId="12" fillId="0" borderId="0" xfId="0" applyNumberFormat="1" applyFont="1" applyProtection="1">
      <protection hidden="1"/>
    </xf>
    <xf numFmtId="4" fontId="12" fillId="0" borderId="0" xfId="0" applyNumberFormat="1" applyFont="1" applyAlignment="1" applyProtection="1">
      <alignment horizontal="right" vertical="top" wrapText="1"/>
      <protection hidden="1"/>
    </xf>
    <xf numFmtId="0" fontId="12" fillId="0" borderId="0" xfId="0" applyFont="1" applyAlignment="1" applyProtection="1">
      <alignment horizontal="left" wrapText="1"/>
      <protection hidden="1"/>
    </xf>
    <xf numFmtId="0" fontId="78" fillId="0" borderId="0" xfId="0" quotePrefix="1" applyFont="1" applyAlignment="1" applyProtection="1">
      <alignment horizontal="right" vertical="center"/>
      <protection hidden="1"/>
    </xf>
    <xf numFmtId="4" fontId="78" fillId="0" borderId="0" xfId="0" applyNumberFormat="1" applyFont="1" applyAlignment="1" applyProtection="1">
      <alignment vertical="center"/>
      <protection hidden="1"/>
    </xf>
    <xf numFmtId="49" fontId="12" fillId="0" borderId="0" xfId="0" applyNumberFormat="1" applyFont="1" applyAlignment="1" applyProtection="1">
      <alignment horizontal="left"/>
      <protection locked="0"/>
    </xf>
    <xf numFmtId="4" fontId="12" fillId="0" borderId="7" xfId="0" applyNumberFormat="1" applyFont="1" applyBorder="1" applyProtection="1">
      <protection hidden="1"/>
    </xf>
    <xf numFmtId="177" fontId="78" fillId="0" borderId="0" xfId="0" applyNumberFormat="1" applyFont="1" applyAlignment="1" applyProtection="1">
      <alignment horizontal="right"/>
      <protection locked="0"/>
    </xf>
    <xf numFmtId="4" fontId="78" fillId="0" borderId="0" xfId="0" applyNumberFormat="1" applyFont="1" applyProtection="1">
      <protection hidden="1"/>
    </xf>
    <xf numFmtId="9" fontId="12" fillId="0" borderId="0" xfId="0" applyNumberFormat="1" applyFont="1" applyProtection="1">
      <protection locked="0"/>
    </xf>
    <xf numFmtId="177" fontId="78" fillId="0" borderId="0" xfId="0" applyNumberFormat="1" applyFont="1" applyProtection="1">
      <protection locked="0"/>
    </xf>
    <xf numFmtId="177" fontId="12" fillId="0" borderId="0" xfId="0" applyNumberFormat="1" applyFont="1" applyAlignment="1" applyProtection="1">
      <alignment horizontal="left"/>
      <protection hidden="1"/>
    </xf>
    <xf numFmtId="9" fontId="12" fillId="0" borderId="0" xfId="0" applyNumberFormat="1" applyFont="1" applyAlignment="1" applyProtection="1">
      <alignment horizontal="center" wrapText="1"/>
      <protection hidden="1"/>
    </xf>
    <xf numFmtId="3" fontId="12" fillId="0" borderId="0" xfId="0" applyNumberFormat="1" applyFont="1" applyAlignment="1" applyProtection="1">
      <alignment horizontal="left"/>
      <protection hidden="1"/>
    </xf>
    <xf numFmtId="0" fontId="86" fillId="0" borderId="1" xfId="0" applyFont="1" applyBorder="1" applyAlignment="1" applyProtection="1">
      <alignment horizontal="left"/>
      <protection hidden="1"/>
    </xf>
    <xf numFmtId="0" fontId="87" fillId="0" borderId="4" xfId="0" applyFont="1" applyBorder="1" applyProtection="1">
      <protection hidden="1"/>
    </xf>
    <xf numFmtId="0" fontId="87" fillId="0" borderId="4" xfId="0" applyFont="1" applyBorder="1" applyAlignment="1" applyProtection="1">
      <alignment horizontal="right"/>
      <protection hidden="1"/>
    </xf>
    <xf numFmtId="0" fontId="86" fillId="0" borderId="5" xfId="0" applyFont="1" applyBorder="1" applyAlignment="1" applyProtection="1">
      <alignment horizontal="right"/>
      <protection hidden="1"/>
    </xf>
    <xf numFmtId="0" fontId="87" fillId="0" borderId="2" xfId="0" applyFont="1" applyBorder="1" applyAlignment="1" applyProtection="1">
      <alignment horizontal="left"/>
      <protection hidden="1"/>
    </xf>
    <xf numFmtId="0" fontId="87" fillId="0" borderId="0" xfId="0" applyFont="1" applyAlignment="1" applyProtection="1">
      <alignment horizontal="left"/>
      <protection hidden="1"/>
    </xf>
    <xf numFmtId="0" fontId="87" fillId="0" borderId="0" xfId="0" applyFont="1" applyProtection="1">
      <protection hidden="1"/>
    </xf>
    <xf numFmtId="0" fontId="87" fillId="0" borderId="0" xfId="0" applyFont="1" applyAlignment="1" applyProtection="1">
      <alignment horizontal="right"/>
      <protection hidden="1"/>
    </xf>
    <xf numFmtId="0" fontId="87" fillId="0" borderId="6" xfId="0" applyFont="1" applyBorder="1" applyAlignment="1" applyProtection="1">
      <alignment horizontal="right"/>
      <protection hidden="1"/>
    </xf>
    <xf numFmtId="0" fontId="87" fillId="0" borderId="2" xfId="0" applyFont="1" applyBorder="1"/>
    <xf numFmtId="0" fontId="87" fillId="0" borderId="0" xfId="0" applyFont="1"/>
    <xf numFmtId="0" fontId="87" fillId="0" borderId="0" xfId="0" applyFont="1" applyAlignment="1">
      <alignment horizontal="right"/>
    </xf>
    <xf numFmtId="0" fontId="87" fillId="0" borderId="3" xfId="0" applyFont="1" applyBorder="1"/>
    <xf numFmtId="0" fontId="87" fillId="0" borderId="7" xfId="0" applyFont="1" applyBorder="1" applyAlignment="1" applyProtection="1">
      <alignment horizontal="left"/>
      <protection hidden="1"/>
    </xf>
    <xf numFmtId="0" fontId="87" fillId="0" borderId="7" xfId="0" applyFont="1" applyBorder="1" applyAlignment="1" applyProtection="1">
      <alignment horizontal="right"/>
      <protection hidden="1"/>
    </xf>
    <xf numFmtId="0" fontId="88" fillId="0" borderId="7" xfId="0" applyFont="1" applyBorder="1"/>
    <xf numFmtId="0" fontId="87" fillId="0" borderId="8" xfId="0" applyFont="1" applyBorder="1" applyAlignment="1" applyProtection="1">
      <alignment horizontal="right"/>
      <protection hidden="1"/>
    </xf>
    <xf numFmtId="9" fontId="3" fillId="0" borderId="0" xfId="0" applyNumberFormat="1" applyFont="1" applyProtection="1">
      <protection hidden="1"/>
    </xf>
    <xf numFmtId="1" fontId="3" fillId="0" borderId="0" xfId="0" applyNumberFormat="1" applyFont="1" applyAlignment="1" applyProtection="1">
      <alignment horizontal="center"/>
      <protection hidden="1"/>
    </xf>
    <xf numFmtId="0" fontId="4" fillId="0" borderId="62" xfId="0" applyFont="1" applyBorder="1" applyProtection="1">
      <protection hidden="1"/>
    </xf>
    <xf numFmtId="0" fontId="4" fillId="0" borderId="62" xfId="0" applyFont="1" applyBorder="1" applyAlignment="1" applyProtection="1">
      <alignment horizontal="left"/>
      <protection hidden="1"/>
    </xf>
    <xf numFmtId="0" fontId="4" fillId="0" borderId="0" xfId="0" applyFont="1" applyAlignment="1">
      <alignment horizontal="left"/>
    </xf>
    <xf numFmtId="0" fontId="4" fillId="0" borderId="0" xfId="0" applyFont="1" applyAlignment="1" applyProtection="1">
      <alignment horizontal="left"/>
      <protection locked="0"/>
    </xf>
    <xf numFmtId="0" fontId="4" fillId="0" borderId="1" xfId="0" applyFont="1" applyBorder="1" applyProtection="1">
      <protection hidden="1"/>
    </xf>
    <xf numFmtId="0" fontId="4" fillId="0" borderId="2" xfId="0" applyFont="1" applyBorder="1" applyProtection="1">
      <protection hidden="1"/>
    </xf>
    <xf numFmtId="0" fontId="4" fillId="0" borderId="3" xfId="0" applyFont="1" applyBorder="1" applyProtection="1">
      <protection hidden="1"/>
    </xf>
    <xf numFmtId="0" fontId="4" fillId="0" borderId="0" xfId="0" applyFont="1" applyProtection="1">
      <protection locked="0"/>
    </xf>
    <xf numFmtId="0" fontId="43" fillId="6" borderId="0" xfId="0" applyFont="1" applyFill="1" applyProtection="1">
      <protection hidden="1"/>
    </xf>
    <xf numFmtId="0" fontId="43" fillId="6" borderId="0" xfId="0" applyFont="1" applyFill="1" applyAlignment="1" applyProtection="1">
      <alignment horizontal="left"/>
      <protection hidden="1"/>
    </xf>
    <xf numFmtId="0" fontId="43" fillId="6" borderId="0" xfId="0" applyFont="1" applyFill="1" applyAlignment="1" applyProtection="1">
      <alignment horizontal="right"/>
      <protection hidden="1"/>
    </xf>
    <xf numFmtId="0" fontId="43" fillId="6" borderId="0" xfId="0" applyFont="1" applyFill="1" applyAlignment="1" applyProtection="1">
      <alignment horizontal="center"/>
      <protection hidden="1"/>
    </xf>
    <xf numFmtId="3" fontId="4" fillId="0" borderId="0" xfId="0" applyNumberFormat="1" applyFont="1" applyProtection="1">
      <protection locked="0"/>
    </xf>
    <xf numFmtId="4" fontId="4" fillId="0" borderId="0" xfId="0" applyNumberFormat="1" applyFont="1" applyProtection="1">
      <protection locked="0"/>
    </xf>
    <xf numFmtId="0" fontId="43" fillId="0" borderId="0" xfId="0" applyFont="1" applyAlignment="1" applyProtection="1">
      <alignment horizontal="left"/>
      <protection hidden="1"/>
    </xf>
    <xf numFmtId="4" fontId="4" fillId="0" borderId="0" xfId="0" applyNumberFormat="1" applyFont="1" applyAlignment="1" applyProtection="1">
      <alignment horizontal="right"/>
      <protection hidden="1"/>
    </xf>
    <xf numFmtId="0" fontId="89" fillId="0" borderId="0" xfId="0" applyFont="1" applyProtection="1">
      <protection hidden="1"/>
    </xf>
    <xf numFmtId="0" fontId="8" fillId="0" borderId="17" xfId="0" applyFont="1" applyBorder="1" applyProtection="1">
      <protection locked="0"/>
    </xf>
    <xf numFmtId="0" fontId="90" fillId="0" borderId="0" xfId="0" applyFont="1" applyProtection="1">
      <protection hidden="1"/>
    </xf>
    <xf numFmtId="0" fontId="91" fillId="0" borderId="0" xfId="0" applyFont="1" applyProtection="1">
      <protection hidden="1"/>
    </xf>
    <xf numFmtId="0" fontId="91" fillId="0" borderId="0" xfId="1" applyFont="1" applyProtection="1">
      <protection hidden="1"/>
    </xf>
    <xf numFmtId="0" fontId="16" fillId="0" borderId="0" xfId="0" applyFont="1" applyAlignment="1" applyProtection="1">
      <alignment horizontal="center"/>
      <protection locked="0"/>
    </xf>
    <xf numFmtId="0" fontId="90" fillId="0" borderId="39" xfId="0" applyFont="1" applyBorder="1" applyProtection="1">
      <protection hidden="1"/>
    </xf>
    <xf numFmtId="0" fontId="92" fillId="0" borderId="0" xfId="0" applyFont="1" applyAlignment="1" applyProtection="1">
      <alignment horizontal="center"/>
      <protection locked="0"/>
    </xf>
    <xf numFmtId="1" fontId="90" fillId="0" borderId="0" xfId="0" applyNumberFormat="1" applyFont="1" applyProtection="1">
      <protection hidden="1"/>
    </xf>
    <xf numFmtId="0" fontId="90" fillId="0" borderId="42" xfId="0" applyFont="1" applyBorder="1" applyAlignment="1" applyProtection="1">
      <alignment horizontal="center"/>
      <protection locked="0"/>
    </xf>
    <xf numFmtId="0" fontId="16" fillId="0" borderId="30" xfId="0" applyFont="1" applyBorder="1" applyAlignment="1" applyProtection="1">
      <alignment horizontal="left"/>
      <protection hidden="1"/>
    </xf>
    <xf numFmtId="0" fontId="64" fillId="0" borderId="0" xfId="0" applyFont="1" applyProtection="1">
      <protection hidden="1"/>
    </xf>
    <xf numFmtId="0" fontId="3" fillId="0" borderId="6" xfId="0" applyFont="1" applyBorder="1"/>
    <xf numFmtId="178" fontId="4" fillId="0" borderId="0" xfId="0" applyNumberFormat="1" applyFont="1" applyProtection="1">
      <protection locked="0"/>
    </xf>
    <xf numFmtId="0" fontId="60" fillId="4" borderId="87" xfId="0" applyFont="1" applyFill="1" applyBorder="1" applyAlignment="1" applyProtection="1">
      <alignment horizontal="center" vertical="top"/>
      <protection hidden="1"/>
    </xf>
    <xf numFmtId="0" fontId="60" fillId="4" borderId="72" xfId="0" applyFont="1" applyFill="1" applyBorder="1" applyAlignment="1" applyProtection="1">
      <alignment horizontal="center" vertical="top"/>
      <protection hidden="1"/>
    </xf>
    <xf numFmtId="0" fontId="3" fillId="0" borderId="6" xfId="0" applyFont="1" applyBorder="1" applyAlignment="1">
      <alignment vertical="top"/>
    </xf>
    <xf numFmtId="0" fontId="4" fillId="0" borderId="70" xfId="0" applyFont="1" applyBorder="1" applyProtection="1">
      <protection locked="0"/>
    </xf>
    <xf numFmtId="0" fontId="4" fillId="0" borderId="71" xfId="0" applyFont="1" applyBorder="1" applyAlignment="1">
      <alignment horizontal="left"/>
    </xf>
    <xf numFmtId="0" fontId="4" fillId="0" borderId="72" xfId="0" applyFont="1" applyBorder="1" applyAlignment="1" applyProtection="1">
      <alignment horizontal="left"/>
      <protection locked="0"/>
    </xf>
    <xf numFmtId="170" fontId="4" fillId="0" borderId="71" xfId="0" applyNumberFormat="1" applyFont="1" applyBorder="1"/>
    <xf numFmtId="170" fontId="4" fillId="0" borderId="70" xfId="0" applyNumberFormat="1" applyFont="1" applyBorder="1" applyAlignment="1" applyProtection="1">
      <alignment horizontal="left"/>
      <protection locked="0"/>
    </xf>
    <xf numFmtId="3" fontId="4" fillId="0" borderId="70" xfId="0" applyNumberFormat="1" applyFont="1" applyBorder="1"/>
    <xf numFmtId="3" fontId="4" fillId="0" borderId="70" xfId="0" applyNumberFormat="1" applyFont="1" applyBorder="1" applyProtection="1">
      <protection hidden="1"/>
    </xf>
    <xf numFmtId="171" fontId="4" fillId="0" borderId="70" xfId="0" applyNumberFormat="1" applyFont="1" applyBorder="1" applyProtection="1">
      <protection hidden="1"/>
    </xf>
    <xf numFmtId="0" fontId="4" fillId="5" borderId="70" xfId="0" applyFont="1" applyFill="1" applyBorder="1" applyProtection="1">
      <protection locked="0"/>
    </xf>
    <xf numFmtId="0" fontId="4" fillId="5" borderId="71" xfId="0" applyFont="1" applyFill="1" applyBorder="1" applyAlignment="1">
      <alignment horizontal="left"/>
    </xf>
    <xf numFmtId="0" fontId="4" fillId="5" borderId="72" xfId="0" applyFont="1" applyFill="1" applyBorder="1" applyAlignment="1" applyProtection="1">
      <alignment horizontal="left"/>
      <protection locked="0"/>
    </xf>
    <xf numFmtId="0" fontId="93" fillId="5" borderId="70" xfId="0" applyFont="1" applyFill="1" applyBorder="1" applyProtection="1">
      <protection locked="0"/>
    </xf>
    <xf numFmtId="171" fontId="4" fillId="5" borderId="70" xfId="0" applyNumberFormat="1" applyFont="1" applyFill="1" applyBorder="1" applyProtection="1">
      <protection hidden="1"/>
    </xf>
    <xf numFmtId="171" fontId="93" fillId="0" borderId="70" xfId="0" applyNumberFormat="1" applyFont="1" applyBorder="1" applyProtection="1">
      <protection locked="0"/>
    </xf>
    <xf numFmtId="171" fontId="93" fillId="5" borderId="70" xfId="0" applyNumberFormat="1" applyFont="1" applyFill="1" applyBorder="1" applyProtection="1">
      <protection locked="0"/>
    </xf>
    <xf numFmtId="0" fontId="4" fillId="0" borderId="70" xfId="0" applyFont="1" applyBorder="1" applyProtection="1">
      <protection hidden="1"/>
    </xf>
    <xf numFmtId="171" fontId="93" fillId="0" borderId="70" xfId="0" applyNumberFormat="1" applyFont="1" applyBorder="1" applyProtection="1">
      <protection hidden="1"/>
    </xf>
    <xf numFmtId="0" fontId="4" fillId="5" borderId="70" xfId="0" applyFont="1" applyFill="1" applyBorder="1" applyProtection="1">
      <protection hidden="1"/>
    </xf>
    <xf numFmtId="171" fontId="93" fillId="5" borderId="70" xfId="0" applyNumberFormat="1" applyFont="1" applyFill="1" applyBorder="1" applyProtection="1">
      <protection hidden="1"/>
    </xf>
    <xf numFmtId="0" fontId="4" fillId="0" borderId="72" xfId="0" applyFont="1" applyBorder="1" applyAlignment="1" applyProtection="1">
      <alignment horizontal="right"/>
      <protection locked="0"/>
    </xf>
    <xf numFmtId="0" fontId="4" fillId="5" borderId="72" xfId="0" applyFont="1" applyFill="1" applyBorder="1" applyAlignment="1" applyProtection="1">
      <alignment horizontal="right"/>
      <protection locked="0"/>
    </xf>
    <xf numFmtId="0" fontId="4" fillId="5" borderId="71" xfId="0" applyFont="1" applyFill="1" applyBorder="1" applyAlignment="1" applyProtection="1">
      <alignment horizontal="left"/>
      <protection hidden="1"/>
    </xf>
    <xf numFmtId="15" fontId="4" fillId="0" borderId="74" xfId="0" quotePrefix="1" applyNumberFormat="1" applyFont="1" applyBorder="1" applyAlignment="1" applyProtection="1">
      <alignment horizontal="right"/>
      <protection hidden="1"/>
    </xf>
    <xf numFmtId="9" fontId="4" fillId="0" borderId="75" xfId="0" applyNumberFormat="1" applyFont="1" applyBorder="1" applyAlignment="1" applyProtection="1">
      <alignment horizontal="left"/>
      <protection hidden="1"/>
    </xf>
    <xf numFmtId="171" fontId="93" fillId="0" borderId="74" xfId="0" applyNumberFormat="1" applyFont="1" applyBorder="1" applyProtection="1">
      <protection hidden="1"/>
    </xf>
    <xf numFmtId="171" fontId="4" fillId="0" borderId="74" xfId="0" applyNumberFormat="1" applyFont="1" applyBorder="1" applyProtection="1">
      <protection hidden="1"/>
    </xf>
    <xf numFmtId="171" fontId="4" fillId="5" borderId="79" xfId="0" applyNumberFormat="1" applyFont="1" applyFill="1" applyBorder="1" applyAlignment="1" applyProtection="1">
      <alignment horizontal="right"/>
      <protection hidden="1"/>
    </xf>
    <xf numFmtId="0" fontId="60" fillId="0" borderId="0" xfId="0" applyFont="1" applyAlignment="1" applyProtection="1">
      <alignment horizontal="center"/>
      <protection locked="0"/>
    </xf>
    <xf numFmtId="0" fontId="61" fillId="5" borderId="0" xfId="0" applyFont="1" applyFill="1" applyAlignment="1" applyProtection="1">
      <alignment horizontal="center"/>
      <protection locked="0"/>
    </xf>
    <xf numFmtId="0" fontId="3" fillId="5" borderId="81" xfId="0" applyFont="1" applyFill="1" applyBorder="1"/>
    <xf numFmtId="0" fontId="61" fillId="0" borderId="0" xfId="0" applyFont="1" applyAlignment="1" applyProtection="1">
      <alignment horizontal="center"/>
      <protection locked="0"/>
    </xf>
    <xf numFmtId="0" fontId="3" fillId="0" borderId="81" xfId="0" applyFont="1" applyBorder="1"/>
    <xf numFmtId="0" fontId="3" fillId="5" borderId="84" xfId="0" applyFont="1" applyFill="1" applyBorder="1"/>
    <xf numFmtId="0" fontId="94" fillId="0" borderId="62" xfId="0" applyFont="1" applyBorder="1"/>
    <xf numFmtId="0" fontId="3" fillId="0" borderId="7" xfId="0" applyFont="1" applyBorder="1"/>
    <xf numFmtId="0" fontId="3" fillId="0" borderId="65" xfId="0" applyFont="1" applyBorder="1"/>
    <xf numFmtId="165" fontId="96" fillId="0" borderId="0" xfId="0" applyNumberFormat="1" applyFont="1"/>
    <xf numFmtId="0" fontId="95" fillId="0" borderId="0" xfId="0" applyFont="1"/>
    <xf numFmtId="165" fontId="95" fillId="0" borderId="0" xfId="0" applyNumberFormat="1" applyFont="1"/>
    <xf numFmtId="49" fontId="95" fillId="0" borderId="0" xfId="0" applyNumberFormat="1" applyFont="1"/>
    <xf numFmtId="0" fontId="4" fillId="0" borderId="65" xfId="0" applyFont="1" applyBorder="1"/>
    <xf numFmtId="0" fontId="95" fillId="0" borderId="0" xfId="0" applyFont="1" applyAlignment="1">
      <alignment horizontal="left"/>
    </xf>
    <xf numFmtId="4" fontId="95" fillId="0" borderId="0" xfId="2" applyNumberFormat="1" applyFont="1" applyBorder="1" applyAlignment="1">
      <alignment horizontal="right"/>
    </xf>
    <xf numFmtId="0" fontId="45" fillId="0" borderId="1" xfId="0" applyFont="1" applyBorder="1"/>
    <xf numFmtId="0" fontId="45" fillId="0" borderId="3" xfId="0" applyFont="1" applyBorder="1"/>
    <xf numFmtId="165" fontId="4" fillId="0" borderId="0" xfId="0" applyNumberFormat="1" applyFont="1"/>
    <xf numFmtId="0" fontId="5" fillId="8" borderId="10" xfId="0" applyFont="1" applyFill="1" applyBorder="1" applyAlignment="1">
      <alignment vertical="top"/>
    </xf>
    <xf numFmtId="0" fontId="5" fillId="8" borderId="10" xfId="0" applyFont="1" applyFill="1" applyBorder="1" applyAlignment="1">
      <alignment horizontal="left" vertical="top"/>
    </xf>
    <xf numFmtId="0" fontId="5" fillId="8" borderId="10" xfId="0" applyFont="1" applyFill="1" applyBorder="1" applyAlignment="1">
      <alignment horizontal="right" vertical="top"/>
    </xf>
    <xf numFmtId="4" fontId="5" fillId="8" borderId="11" xfId="0" applyNumberFormat="1" applyFont="1" applyFill="1" applyBorder="1" applyAlignment="1">
      <alignment vertical="top"/>
    </xf>
    <xf numFmtId="0" fontId="5" fillId="8" borderId="4" xfId="0" applyFont="1" applyFill="1" applyBorder="1" applyAlignment="1">
      <alignment vertical="top"/>
    </xf>
    <xf numFmtId="0" fontId="5" fillId="8" borderId="4" xfId="0" applyFont="1" applyFill="1" applyBorder="1" applyAlignment="1">
      <alignment horizontal="right" vertical="top"/>
    </xf>
    <xf numFmtId="0" fontId="5" fillId="8" borderId="4" xfId="0" applyFont="1" applyFill="1" applyBorder="1" applyAlignment="1">
      <alignment horizontal="left" vertical="top" wrapText="1"/>
    </xf>
    <xf numFmtId="4" fontId="5" fillId="8" borderId="4" xfId="0" applyNumberFormat="1" applyFont="1" applyFill="1" applyBorder="1" applyAlignment="1">
      <alignment vertical="top"/>
    </xf>
    <xf numFmtId="0" fontId="5" fillId="8" borderId="4" xfId="0" applyFont="1" applyFill="1" applyBorder="1" applyAlignment="1">
      <alignment horizontal="left" vertical="top"/>
    </xf>
    <xf numFmtId="4" fontId="5" fillId="8" borderId="5" xfId="0" applyNumberFormat="1" applyFont="1" applyFill="1" applyBorder="1" applyAlignment="1">
      <alignment vertical="top"/>
    </xf>
    <xf numFmtId="0" fontId="5" fillId="8" borderId="3" xfId="0" applyFont="1" applyFill="1" applyBorder="1" applyAlignment="1">
      <alignment vertical="top"/>
    </xf>
    <xf numFmtId="0" fontId="5" fillId="8" borderId="7" xfId="0" applyFont="1" applyFill="1" applyBorder="1" applyAlignment="1">
      <alignment vertical="top"/>
    </xf>
    <xf numFmtId="4" fontId="5" fillId="8" borderId="7" xfId="0" applyNumberFormat="1" applyFont="1" applyFill="1" applyBorder="1" applyAlignment="1">
      <alignment vertical="top"/>
    </xf>
    <xf numFmtId="0" fontId="5" fillId="8" borderId="7" xfId="0" quotePrefix="1" applyFont="1" applyFill="1" applyBorder="1" applyAlignment="1">
      <alignment vertical="top"/>
    </xf>
    <xf numFmtId="0" fontId="5" fillId="8" borderId="8" xfId="0" applyFont="1" applyFill="1" applyBorder="1" applyAlignment="1">
      <alignment vertical="top"/>
    </xf>
    <xf numFmtId="0" fontId="5" fillId="8" borderId="9" xfId="0" applyFont="1" applyFill="1" applyBorder="1" applyAlignment="1">
      <alignment horizontal="right" vertical="top"/>
    </xf>
    <xf numFmtId="173" fontId="5" fillId="8" borderId="10" xfId="0" applyNumberFormat="1" applyFont="1" applyFill="1" applyBorder="1" applyAlignment="1">
      <alignment horizontal="left" vertical="top"/>
    </xf>
    <xf numFmtId="0" fontId="5" fillId="8" borderId="9" xfId="0" applyFont="1" applyFill="1" applyBorder="1" applyAlignment="1">
      <alignment horizontal="left" vertical="top"/>
    </xf>
    <xf numFmtId="4" fontId="5" fillId="8" borderId="10" xfId="0" applyNumberFormat="1" applyFont="1" applyFill="1" applyBorder="1" applyAlignment="1">
      <alignment horizontal="right" vertical="top"/>
    </xf>
    <xf numFmtId="4" fontId="5" fillId="8" borderId="10" xfId="0" applyNumberFormat="1" applyFont="1" applyFill="1" applyBorder="1" applyAlignment="1">
      <alignment vertical="top"/>
    </xf>
    <xf numFmtId="0" fontId="5" fillId="8" borderId="10" xfId="0" applyFont="1" applyFill="1" applyBorder="1" applyAlignment="1">
      <alignment horizontal="right" vertical="top" wrapText="1"/>
    </xf>
    <xf numFmtId="0" fontId="5" fillId="8" borderId="10" xfId="0" applyFont="1" applyFill="1" applyBorder="1" applyAlignment="1">
      <alignment horizontal="left" vertical="top" wrapText="1"/>
    </xf>
    <xf numFmtId="0" fontId="5" fillId="8" borderId="1" xfId="0" applyFont="1" applyFill="1" applyBorder="1" applyAlignment="1">
      <alignment horizontal="right" vertical="top"/>
    </xf>
    <xf numFmtId="4" fontId="5" fillId="8" borderId="4" xfId="0" applyNumberFormat="1" applyFont="1" applyFill="1" applyBorder="1" applyAlignment="1">
      <alignment horizontal="right" vertical="top"/>
    </xf>
    <xf numFmtId="0" fontId="5" fillId="8" borderId="3" xfId="0" applyFont="1" applyFill="1" applyBorder="1" applyAlignment="1">
      <alignment horizontal="right" vertical="top"/>
    </xf>
    <xf numFmtId="0" fontId="5" fillId="8" borderId="7" xfId="0" applyFont="1" applyFill="1" applyBorder="1" applyAlignment="1">
      <alignment horizontal="left" vertical="top"/>
    </xf>
    <xf numFmtId="2" fontId="5" fillId="8" borderId="7" xfId="0" applyNumberFormat="1" applyFont="1" applyFill="1" applyBorder="1" applyAlignment="1">
      <alignment horizontal="right" vertical="top"/>
    </xf>
    <xf numFmtId="4" fontId="5" fillId="8" borderId="8" xfId="0" applyNumberFormat="1" applyFont="1" applyFill="1" applyBorder="1" applyAlignment="1">
      <alignment vertical="top"/>
    </xf>
    <xf numFmtId="0" fontId="5" fillId="8" borderId="1" xfId="0" applyFont="1" applyFill="1" applyBorder="1"/>
    <xf numFmtId="0" fontId="5" fillId="8" borderId="4" xfId="0" applyFont="1" applyFill="1" applyBorder="1"/>
    <xf numFmtId="4" fontId="5" fillId="8" borderId="4" xfId="0" applyNumberFormat="1" applyFont="1" applyFill="1" applyBorder="1"/>
    <xf numFmtId="0" fontId="5" fillId="8" borderId="4" xfId="0" quotePrefix="1" applyFont="1" applyFill="1" applyBorder="1"/>
    <xf numFmtId="173" fontId="5" fillId="8" borderId="4" xfId="0" applyNumberFormat="1" applyFont="1" applyFill="1" applyBorder="1"/>
    <xf numFmtId="4" fontId="5" fillId="8" borderId="5" xfId="0" applyNumberFormat="1" applyFont="1" applyFill="1" applyBorder="1"/>
    <xf numFmtId="0" fontId="5" fillId="8" borderId="7" xfId="0" applyFont="1" applyFill="1" applyBorder="1"/>
    <xf numFmtId="4" fontId="5" fillId="8" borderId="7" xfId="0" applyNumberFormat="1" applyFont="1" applyFill="1" applyBorder="1"/>
    <xf numFmtId="0" fontId="5" fillId="8" borderId="7" xfId="0" quotePrefix="1" applyFont="1" applyFill="1" applyBorder="1"/>
    <xf numFmtId="0" fontId="5" fillId="8" borderId="8" xfId="0" applyFont="1" applyFill="1" applyBorder="1"/>
    <xf numFmtId="0" fontId="4" fillId="8" borderId="9" xfId="0" applyFont="1" applyFill="1" applyBorder="1" applyAlignment="1">
      <alignment vertical="top"/>
    </xf>
    <xf numFmtId="0" fontId="4" fillId="8" borderId="10" xfId="0" applyFont="1" applyFill="1" applyBorder="1" applyAlignment="1">
      <alignment vertical="top"/>
    </xf>
    <xf numFmtId="0" fontId="4" fillId="8" borderId="10" xfId="0" quotePrefix="1" applyFont="1" applyFill="1" applyBorder="1" applyAlignment="1">
      <alignment vertical="top"/>
    </xf>
    <xf numFmtId="173" fontId="4" fillId="8" borderId="10" xfId="0" applyNumberFormat="1" applyFont="1" applyFill="1" applyBorder="1" applyAlignment="1">
      <alignment vertical="top"/>
    </xf>
    <xf numFmtId="4" fontId="4" fillId="8" borderId="11" xfId="0" applyNumberFormat="1" applyFont="1" applyFill="1" applyBorder="1" applyAlignment="1">
      <alignment vertical="top"/>
    </xf>
    <xf numFmtId="173" fontId="4" fillId="8" borderId="9" xfId="0" applyNumberFormat="1" applyFont="1" applyFill="1" applyBorder="1" applyAlignment="1">
      <alignment vertical="top"/>
    </xf>
    <xf numFmtId="4" fontId="4" fillId="8" borderId="10" xfId="0" applyNumberFormat="1" applyFont="1" applyFill="1" applyBorder="1" applyAlignment="1">
      <alignment vertical="top"/>
    </xf>
    <xf numFmtId="173" fontId="5" fillId="8" borderId="9" xfId="0" applyNumberFormat="1" applyFont="1" applyFill="1" applyBorder="1" applyAlignment="1">
      <alignment horizontal="right" vertical="top"/>
    </xf>
    <xf numFmtId="1" fontId="5" fillId="0" borderId="0" xfId="0" applyNumberFormat="1" applyFont="1" applyAlignment="1">
      <alignment horizontal="left" vertical="top"/>
    </xf>
    <xf numFmtId="14" fontId="5" fillId="0" borderId="0" xfId="0" applyNumberFormat="1" applyFont="1"/>
    <xf numFmtId="1" fontId="5" fillId="0" borderId="0" xfId="0" applyNumberFormat="1" applyFont="1" applyAlignment="1">
      <alignment horizontal="left"/>
    </xf>
    <xf numFmtId="0" fontId="4" fillId="0" borderId="0" xfId="0" applyFont="1" applyAlignment="1">
      <alignment horizontal="right" vertical="top"/>
    </xf>
    <xf numFmtId="0" fontId="4" fillId="0" borderId="0" xfId="0" applyFont="1" applyAlignment="1">
      <alignment horizontal="left" vertical="top"/>
    </xf>
    <xf numFmtId="14" fontId="4" fillId="0" borderId="0" xfId="0" applyNumberFormat="1" applyFont="1"/>
    <xf numFmtId="173" fontId="5" fillId="8" borderId="1" xfId="0" applyNumberFormat="1" applyFont="1" applyFill="1" applyBorder="1" applyAlignment="1">
      <alignment horizontal="right" vertical="top"/>
    </xf>
    <xf numFmtId="0" fontId="5" fillId="0" borderId="0" xfId="0" applyFont="1" applyAlignment="1">
      <alignment horizontal="left" vertical="top"/>
    </xf>
    <xf numFmtId="0" fontId="97" fillId="0" borderId="0" xfId="0" applyFont="1"/>
    <xf numFmtId="0" fontId="97" fillId="0" borderId="0" xfId="0" applyFont="1" applyAlignment="1">
      <alignment horizontal="left"/>
    </xf>
    <xf numFmtId="0" fontId="98" fillId="0" borderId="0" xfId="0" applyFont="1" applyAlignment="1">
      <alignment vertical="center"/>
    </xf>
    <xf numFmtId="0" fontId="98" fillId="0" borderId="0" xfId="0" applyFont="1"/>
    <xf numFmtId="0" fontId="98" fillId="0" borderId="0" xfId="0" applyFont="1" applyAlignment="1">
      <alignment horizontal="left" vertical="center" indent="5"/>
    </xf>
    <xf numFmtId="0" fontId="98" fillId="0" borderId="0" xfId="0" applyFont="1" applyAlignment="1">
      <alignment horizontal="left"/>
    </xf>
    <xf numFmtId="0" fontId="5" fillId="0" borderId="6" xfId="0" applyFont="1" applyBorder="1" applyAlignment="1">
      <alignment horizontal="left" vertical="top"/>
    </xf>
    <xf numFmtId="164" fontId="4" fillId="0" borderId="7" xfId="0" applyNumberFormat="1" applyFont="1" applyBorder="1" applyAlignment="1" applyProtection="1">
      <alignment horizontal="right"/>
      <protection locked="0"/>
    </xf>
    <xf numFmtId="164" fontId="4" fillId="0" borderId="8" xfId="0" applyNumberFormat="1" applyFont="1" applyBorder="1" applyAlignment="1" applyProtection="1">
      <alignment horizontal="right"/>
      <protection locked="0"/>
    </xf>
    <xf numFmtId="0" fontId="99" fillId="0" borderId="0" xfId="1" applyFont="1"/>
    <xf numFmtId="0" fontId="100" fillId="0" borderId="0" xfId="0" applyFont="1"/>
    <xf numFmtId="0" fontId="97" fillId="0" borderId="0" xfId="1" quotePrefix="1" applyFont="1"/>
    <xf numFmtId="0" fontId="101" fillId="0" borderId="0" xfId="0" applyFont="1"/>
    <xf numFmtId="170" fontId="99" fillId="0" borderId="0" xfId="1" applyNumberFormat="1" applyFont="1"/>
    <xf numFmtId="0" fontId="97" fillId="0" borderId="0" xfId="0" applyFont="1" applyProtection="1">
      <protection hidden="1"/>
    </xf>
    <xf numFmtId="0" fontId="97" fillId="0" borderId="0" xfId="0" applyFont="1" applyAlignment="1" applyProtection="1">
      <alignment horizontal="right"/>
      <protection hidden="1"/>
    </xf>
    <xf numFmtId="0" fontId="99" fillId="0" borderId="0" xfId="1" applyFont="1" applyBorder="1"/>
    <xf numFmtId="0" fontId="97" fillId="0" borderId="0" xfId="1" applyFont="1" applyBorder="1" applyAlignment="1">
      <alignment horizontal="center"/>
    </xf>
    <xf numFmtId="173" fontId="97" fillId="0" borderId="0" xfId="0" applyNumberFormat="1" applyFont="1"/>
    <xf numFmtId="170" fontId="97" fillId="0" borderId="0" xfId="0" applyNumberFormat="1" applyFont="1"/>
    <xf numFmtId="1" fontId="97" fillId="0" borderId="0" xfId="0" applyNumberFormat="1" applyFont="1"/>
    <xf numFmtId="9" fontId="97" fillId="0" borderId="0" xfId="0" applyNumberFormat="1" applyFont="1"/>
    <xf numFmtId="4" fontId="97" fillId="0" borderId="0" xfId="0" applyNumberFormat="1" applyFont="1"/>
    <xf numFmtId="0" fontId="98" fillId="0" borderId="64" xfId="0" applyFont="1" applyBorder="1" applyAlignment="1">
      <alignment vertical="top" wrapText="1"/>
    </xf>
    <xf numFmtId="0" fontId="98" fillId="0" borderId="0" xfId="0" applyFont="1" applyAlignment="1">
      <alignment vertical="top" wrapText="1"/>
    </xf>
    <xf numFmtId="0" fontId="98" fillId="0" borderId="91" xfId="0" applyFont="1" applyBorder="1" applyAlignment="1">
      <alignment vertical="top" wrapText="1"/>
    </xf>
    <xf numFmtId="0" fontId="98" fillId="0" borderId="93" xfId="0" applyFont="1" applyBorder="1" applyAlignment="1">
      <alignment vertical="top" wrapText="1"/>
    </xf>
    <xf numFmtId="0" fontId="98" fillId="0" borderId="92" xfId="0" applyFont="1" applyBorder="1" applyAlignment="1">
      <alignment vertical="top" wrapText="1"/>
    </xf>
    <xf numFmtId="0" fontId="98" fillId="0" borderId="67" xfId="0" applyFont="1" applyBorder="1" applyAlignment="1">
      <alignment vertical="top" wrapText="1"/>
    </xf>
    <xf numFmtId="0" fontId="102" fillId="0" borderId="0" xfId="0" applyFont="1" applyAlignment="1">
      <alignment horizontal="left" vertical="center" readingOrder="1"/>
    </xf>
    <xf numFmtId="0" fontId="103" fillId="0" borderId="0" xfId="0" applyFont="1"/>
    <xf numFmtId="0" fontId="97" fillId="0" borderId="0" xfId="1" applyFont="1"/>
    <xf numFmtId="0" fontId="104" fillId="0" borderId="0" xfId="0" applyFont="1"/>
    <xf numFmtId="0" fontId="105" fillId="0" borderId="0" xfId="0" applyFont="1"/>
    <xf numFmtId="0" fontId="102" fillId="0" borderId="0" xfId="0" applyFont="1" applyAlignment="1">
      <alignment horizontal="right" vertical="center" readingOrder="1"/>
    </xf>
    <xf numFmtId="0" fontId="106" fillId="0" borderId="0" xfId="0" applyFont="1"/>
    <xf numFmtId="1" fontId="97" fillId="0" borderId="0" xfId="0" applyNumberFormat="1" applyFont="1" applyAlignment="1">
      <alignment horizontal="left"/>
    </xf>
    <xf numFmtId="0" fontId="108" fillId="0" borderId="0" xfId="0" applyFont="1" applyAlignment="1">
      <alignment horizontal="left" vertical="center" readingOrder="1"/>
    </xf>
    <xf numFmtId="0" fontId="97" fillId="0" borderId="0" xfId="0" applyFont="1" applyAlignment="1" applyProtection="1">
      <alignment horizontal="left"/>
      <protection hidden="1"/>
    </xf>
    <xf numFmtId="0" fontId="97" fillId="0" borderId="0" xfId="0" quotePrefix="1" applyFont="1" applyProtection="1">
      <protection hidden="1"/>
    </xf>
    <xf numFmtId="9" fontId="97" fillId="0" borderId="0" xfId="0" applyNumberFormat="1" applyFont="1" applyProtection="1">
      <protection hidden="1"/>
    </xf>
    <xf numFmtId="0" fontId="109" fillId="0" borderId="0" xfId="0" applyFont="1"/>
    <xf numFmtId="0" fontId="104" fillId="0" borderId="0" xfId="0" applyFont="1" applyAlignment="1">
      <alignment vertical="center" wrapText="1"/>
    </xf>
    <xf numFmtId="0" fontId="102" fillId="0" borderId="0" xfId="0" applyFont="1"/>
    <xf numFmtId="0" fontId="107" fillId="0" borderId="0" xfId="0" applyFont="1" applyAlignment="1">
      <alignment horizontal="left" indent="2"/>
    </xf>
    <xf numFmtId="0" fontId="107" fillId="0" borderId="0" xfId="0" applyFont="1"/>
    <xf numFmtId="0" fontId="98" fillId="0" borderId="0" xfId="0" applyFont="1" applyAlignment="1">
      <alignment horizontal="left" indent="2"/>
    </xf>
    <xf numFmtId="9" fontId="98" fillId="0" borderId="0" xfId="0" applyNumberFormat="1" applyFont="1"/>
    <xf numFmtId="0" fontId="110" fillId="0" borderId="0" xfId="0" applyFont="1"/>
    <xf numFmtId="183" fontId="98" fillId="0" borderId="0" xfId="0" applyNumberFormat="1" applyFont="1" applyAlignment="1">
      <alignment horizontal="center"/>
    </xf>
    <xf numFmtId="0" fontId="97" fillId="0" borderId="92" xfId="0" applyFont="1" applyBorder="1" applyAlignment="1">
      <alignment vertical="top" wrapText="1"/>
    </xf>
    <xf numFmtId="0" fontId="98" fillId="0" borderId="66" xfId="0" applyFont="1" applyBorder="1" applyAlignment="1">
      <alignment vertical="top" wrapText="1"/>
    </xf>
    <xf numFmtId="0" fontId="39" fillId="0" borderId="0" xfId="1"/>
    <xf numFmtId="0" fontId="6" fillId="7" borderId="90" xfId="0" applyFont="1" applyFill="1" applyBorder="1" applyProtection="1">
      <protection hidden="1"/>
    </xf>
    <xf numFmtId="0" fontId="79" fillId="7" borderId="94" xfId="0" applyFont="1" applyFill="1" applyBorder="1" applyAlignment="1" applyProtection="1">
      <alignment horizontal="right"/>
      <protection hidden="1"/>
    </xf>
    <xf numFmtId="0" fontId="39" fillId="0" borderId="0" xfId="1" applyProtection="1">
      <protection hidden="1"/>
    </xf>
    <xf numFmtId="0" fontId="8" fillId="0" borderId="7" xfId="0" applyFont="1" applyBorder="1"/>
    <xf numFmtId="0" fontId="8" fillId="0" borderId="44" xfId="0" applyFont="1" applyBorder="1"/>
    <xf numFmtId="0" fontId="8" fillId="0" borderId="18" xfId="0" applyFont="1" applyBorder="1" applyAlignment="1" applyProtection="1">
      <alignment horizontal="left"/>
      <protection locked="0"/>
    </xf>
    <xf numFmtId="0" fontId="8" fillId="0" borderId="17" xfId="0" applyFont="1" applyBorder="1" applyAlignment="1" applyProtection="1">
      <alignment horizontal="left"/>
      <protection locked="0"/>
    </xf>
    <xf numFmtId="0" fontId="4" fillId="0" borderId="7" xfId="0" applyFont="1" applyBorder="1" applyProtection="1">
      <protection hidden="1"/>
    </xf>
    <xf numFmtId="164" fontId="4" fillId="0" borderId="8" xfId="0" applyNumberFormat="1" applyFont="1" applyBorder="1" applyAlignment="1">
      <alignment horizontal="right"/>
    </xf>
    <xf numFmtId="14" fontId="1" fillId="0" borderId="0" xfId="0" applyNumberFormat="1" applyFont="1" applyAlignment="1" applyProtection="1">
      <alignment horizontal="left"/>
      <protection hidden="1"/>
    </xf>
    <xf numFmtId="3" fontId="12" fillId="0" borderId="0" xfId="0" applyNumberFormat="1" applyFont="1" applyAlignment="1" applyProtection="1">
      <alignment horizontal="right"/>
      <protection hidden="1"/>
    </xf>
    <xf numFmtId="185" fontId="12" fillId="0" borderId="0" xfId="0" applyNumberFormat="1" applyFont="1" applyAlignment="1" applyProtection="1">
      <alignment horizontal="left"/>
      <protection hidden="1"/>
    </xf>
    <xf numFmtId="3" fontId="12" fillId="0" borderId="0" xfId="0" applyNumberFormat="1" applyFont="1" applyAlignment="1" applyProtection="1">
      <alignment horizontal="center"/>
      <protection hidden="1"/>
    </xf>
    <xf numFmtId="9" fontId="12" fillId="0" borderId="0" xfId="0" applyNumberFormat="1" applyFont="1" applyAlignment="1" applyProtection="1">
      <alignment horizontal="left"/>
      <protection hidden="1"/>
    </xf>
    <xf numFmtId="177" fontId="112" fillId="0" borderId="0" xfId="0" applyNumberFormat="1" applyFont="1" applyProtection="1">
      <protection hidden="1"/>
    </xf>
    <xf numFmtId="0" fontId="97" fillId="0" borderId="0" xfId="0" applyFont="1" applyAlignment="1">
      <alignment vertical="top" wrapText="1"/>
    </xf>
    <xf numFmtId="0" fontId="97" fillId="0" borderId="0" xfId="0" applyFont="1" applyAlignment="1">
      <alignment vertical="center"/>
    </xf>
    <xf numFmtId="0" fontId="102" fillId="0" borderId="0" xfId="0" applyFont="1" applyAlignment="1">
      <alignment vertical="center" wrapText="1"/>
    </xf>
    <xf numFmtId="0" fontId="102" fillId="0" borderId="0" xfId="0" applyFont="1" applyAlignment="1">
      <alignment horizontal="left" vertical="center" wrapText="1"/>
    </xf>
    <xf numFmtId="0" fontId="102" fillId="0" borderId="0" xfId="0" applyFont="1" applyAlignment="1">
      <alignment vertical="center"/>
    </xf>
    <xf numFmtId="0" fontId="4" fillId="0" borderId="7" xfId="0" applyFont="1" applyBorder="1"/>
    <xf numFmtId="1" fontId="113" fillId="0" borderId="7" xfId="0" applyNumberFormat="1" applyFont="1" applyBorder="1" applyAlignment="1">
      <alignment horizontal="left"/>
    </xf>
    <xf numFmtId="0" fontId="114" fillId="0" borderId="0" xfId="0" applyFont="1"/>
    <xf numFmtId="165" fontId="115" fillId="0" borderId="0" xfId="0" applyNumberFormat="1" applyFont="1"/>
    <xf numFmtId="0" fontId="113" fillId="0" borderId="0" xfId="0" applyFont="1"/>
    <xf numFmtId="9" fontId="113" fillId="0" borderId="0" xfId="0" applyNumberFormat="1" applyFont="1" applyAlignment="1">
      <alignment horizontal="right"/>
    </xf>
    <xf numFmtId="165" fontId="113" fillId="0" borderId="0" xfId="0" applyNumberFormat="1" applyFont="1"/>
    <xf numFmtId="49" fontId="113" fillId="0" borderId="0" xfId="0" applyNumberFormat="1" applyFont="1"/>
    <xf numFmtId="166" fontId="113" fillId="0" borderId="0" xfId="2" applyNumberFormat="1" applyFont="1" applyBorder="1" applyAlignment="1">
      <alignment horizontal="right"/>
    </xf>
    <xf numFmtId="4" fontId="113" fillId="0" borderId="0" xfId="0" quotePrefix="1" applyNumberFormat="1" applyFont="1"/>
    <xf numFmtId="4" fontId="113" fillId="0" borderId="0" xfId="0" applyNumberFormat="1" applyFont="1"/>
    <xf numFmtId="0" fontId="113" fillId="0" borderId="0" xfId="0" applyFont="1" applyAlignment="1">
      <alignment horizontal="center"/>
    </xf>
    <xf numFmtId="14" fontId="113" fillId="0" borderId="0" xfId="0" applyNumberFormat="1" applyFont="1" applyAlignment="1">
      <alignment horizontal="right"/>
    </xf>
    <xf numFmtId="14" fontId="113" fillId="0" borderId="0" xfId="0" applyNumberFormat="1" applyFont="1"/>
    <xf numFmtId="0" fontId="113" fillId="0" borderId="0" xfId="0" applyFont="1" applyAlignment="1">
      <alignment horizontal="left"/>
    </xf>
    <xf numFmtId="9" fontId="113" fillId="0" borderId="0" xfId="0" applyNumberFormat="1" applyFont="1" applyAlignment="1">
      <alignment horizontal="left"/>
    </xf>
    <xf numFmtId="9" fontId="113" fillId="0" borderId="0" xfId="0" applyNumberFormat="1" applyFont="1"/>
    <xf numFmtId="0" fontId="113" fillId="0" borderId="0" xfId="0" quotePrefix="1" applyFont="1" applyAlignment="1">
      <alignment horizontal="right"/>
    </xf>
    <xf numFmtId="4" fontId="113" fillId="0" borderId="0" xfId="0" applyNumberFormat="1" applyFont="1" applyAlignment="1">
      <alignment horizontal="left"/>
    </xf>
    <xf numFmtId="184" fontId="113" fillId="0" borderId="0" xfId="0" quotePrefix="1" applyNumberFormat="1" applyFont="1" applyAlignment="1">
      <alignment horizontal="left"/>
    </xf>
    <xf numFmtId="184" fontId="113" fillId="0" borderId="0" xfId="0" applyNumberFormat="1" applyFont="1"/>
    <xf numFmtId="180" fontId="113" fillId="0" borderId="0" xfId="0" applyNumberFormat="1" applyFont="1" applyAlignment="1">
      <alignment horizontal="left"/>
    </xf>
    <xf numFmtId="0" fontId="4" fillId="0" borderId="4" xfId="0" applyFont="1" applyBorder="1"/>
    <xf numFmtId="0" fontId="4" fillId="0" borderId="4" xfId="0" applyFont="1" applyBorder="1" applyAlignment="1">
      <alignment horizontal="right"/>
    </xf>
    <xf numFmtId="0" fontId="4" fillId="0" borderId="5" xfId="0" applyFont="1" applyBorder="1"/>
    <xf numFmtId="174" fontId="113" fillId="0" borderId="7" xfId="2" applyNumberFormat="1" applyFont="1" applyBorder="1" applyAlignment="1">
      <alignment horizontal="right"/>
    </xf>
    <xf numFmtId="0" fontId="116" fillId="0" borderId="62" xfId="0" applyFont="1" applyBorder="1"/>
    <xf numFmtId="0" fontId="116" fillId="0" borderId="62" xfId="0" applyFont="1" applyBorder="1" applyAlignment="1">
      <alignment horizontal="right"/>
    </xf>
    <xf numFmtId="0" fontId="116" fillId="0" borderId="7" xfId="0" applyFont="1" applyBorder="1" applyAlignment="1">
      <alignment horizontal="right"/>
    </xf>
    <xf numFmtId="0" fontId="116" fillId="0" borderId="62" xfId="0" applyFont="1" applyBorder="1" applyAlignment="1">
      <alignment horizontal="left"/>
    </xf>
    <xf numFmtId="0" fontId="116" fillId="0" borderId="7" xfId="0" applyFont="1" applyBorder="1" applyAlignment="1">
      <alignment horizontal="left"/>
    </xf>
    <xf numFmtId="170" fontId="4" fillId="0" borderId="0" xfId="0" applyNumberFormat="1" applyFont="1"/>
    <xf numFmtId="0" fontId="4" fillId="0" borderId="1" xfId="0" applyFont="1" applyBorder="1"/>
    <xf numFmtId="164" fontId="4" fillId="0" borderId="4" xfId="0" applyNumberFormat="1" applyFont="1" applyBorder="1" applyAlignment="1">
      <alignment horizontal="left"/>
    </xf>
    <xf numFmtId="4" fontId="4" fillId="0" borderId="4" xfId="0" applyNumberFormat="1" applyFont="1" applyBorder="1"/>
    <xf numFmtId="4" fontId="4" fillId="0" borderId="4" xfId="0" quotePrefix="1" applyNumberFormat="1" applyFont="1" applyBorder="1" applyAlignment="1">
      <alignment horizontal="center"/>
    </xf>
    <xf numFmtId="9" fontId="4" fillId="0" borderId="4" xfId="0" applyNumberFormat="1" applyFont="1" applyBorder="1"/>
    <xf numFmtId="9" fontId="4" fillId="0" borderId="4" xfId="0" quotePrefix="1" applyNumberFormat="1" applyFont="1" applyBorder="1" applyAlignment="1">
      <alignment horizontal="center"/>
    </xf>
    <xf numFmtId="0" fontId="12" fillId="0" borderId="4" xfId="0" applyFont="1" applyBorder="1" applyAlignment="1">
      <alignment horizontal="center"/>
    </xf>
    <xf numFmtId="0" fontId="4" fillId="0" borderId="5" xfId="0" applyFont="1" applyBorder="1" applyAlignment="1">
      <alignment horizontal="left"/>
    </xf>
    <xf numFmtId="0" fontId="4" fillId="0" borderId="2" xfId="0" applyFont="1" applyBorder="1"/>
    <xf numFmtId="164" fontId="4" fillId="0" borderId="0" xfId="0" applyNumberFormat="1" applyFont="1" applyAlignment="1">
      <alignment horizontal="left"/>
    </xf>
    <xf numFmtId="0" fontId="12" fillId="0" borderId="0" xfId="0" applyFont="1" applyAlignment="1">
      <alignment horizontal="center"/>
    </xf>
    <xf numFmtId="0" fontId="4" fillId="0" borderId="6" xfId="0" applyFont="1" applyBorder="1" applyAlignment="1">
      <alignment horizontal="left"/>
    </xf>
    <xf numFmtId="49" fontId="4" fillId="0" borderId="2" xfId="0" applyNumberFormat="1" applyFont="1" applyBorder="1"/>
    <xf numFmtId="0" fontId="4" fillId="0" borderId="3" xfId="0" applyFont="1" applyBorder="1"/>
    <xf numFmtId="0" fontId="4" fillId="0" borderId="7" xfId="0" applyFont="1" applyBorder="1" applyAlignment="1">
      <alignment horizontal="left"/>
    </xf>
    <xf numFmtId="0" fontId="4" fillId="0" borderId="8" xfId="0" applyFont="1" applyBorder="1"/>
    <xf numFmtId="0" fontId="4" fillId="0" borderId="49" xfId="0" applyFont="1" applyBorder="1"/>
    <xf numFmtId="1" fontId="4" fillId="0" borderId="0" xfId="0" applyNumberFormat="1" applyFont="1"/>
    <xf numFmtId="0" fontId="4" fillId="0" borderId="50" xfId="0" applyFont="1" applyBorder="1"/>
    <xf numFmtId="0" fontId="4" fillId="0" borderId="51" xfId="0" applyFont="1" applyBorder="1" applyAlignment="1">
      <alignment horizontal="left"/>
    </xf>
    <xf numFmtId="0" fontId="4" fillId="0" borderId="51" xfId="0" applyFont="1" applyBorder="1"/>
    <xf numFmtId="0" fontId="4" fillId="0" borderId="52" xfId="0" applyFont="1" applyBorder="1"/>
    <xf numFmtId="0" fontId="4" fillId="0" borderId="53" xfId="0" applyFont="1" applyBorder="1"/>
    <xf numFmtId="0" fontId="4" fillId="0" borderId="54" xfId="0" applyFont="1" applyBorder="1"/>
    <xf numFmtId="0" fontId="4" fillId="0" borderId="55" xfId="0" applyFont="1" applyBorder="1"/>
    <xf numFmtId="0" fontId="4" fillId="0" borderId="56" xfId="0" applyFont="1" applyBorder="1" applyAlignment="1">
      <alignment horizontal="left"/>
    </xf>
    <xf numFmtId="0" fontId="4" fillId="0" borderId="56" xfId="0" applyFont="1" applyBorder="1"/>
    <xf numFmtId="0" fontId="4" fillId="0" borderId="57" xfId="0" applyFont="1" applyBorder="1"/>
    <xf numFmtId="181" fontId="4" fillId="0" borderId="0" xfId="0" applyNumberFormat="1" applyFont="1"/>
    <xf numFmtId="9" fontId="4" fillId="0" borderId="53" xfId="0" applyNumberFormat="1" applyFont="1" applyBorder="1" applyAlignment="1">
      <alignment horizontal="right"/>
    </xf>
    <xf numFmtId="4" fontId="4" fillId="0" borderId="0" xfId="0" applyNumberFormat="1" applyFont="1" applyAlignment="1">
      <alignment horizontal="right"/>
    </xf>
    <xf numFmtId="4" fontId="4" fillId="0" borderId="0" xfId="0" quotePrefix="1" applyNumberFormat="1" applyFont="1" applyAlignment="1">
      <alignment horizontal="center"/>
    </xf>
    <xf numFmtId="9" fontId="4" fillId="0" borderId="0" xfId="0" quotePrefix="1" applyNumberFormat="1" applyFont="1" applyAlignment="1">
      <alignment horizontal="center"/>
    </xf>
    <xf numFmtId="9" fontId="4" fillId="0" borderId="0" xfId="0" applyNumberFormat="1" applyFont="1" applyAlignment="1">
      <alignment horizontal="left"/>
    </xf>
    <xf numFmtId="9" fontId="4" fillId="0" borderId="0" xfId="0" quotePrefix="1" applyNumberFormat="1" applyFont="1"/>
    <xf numFmtId="4" fontId="4" fillId="0" borderId="0" xfId="0" applyNumberFormat="1" applyFont="1" applyAlignment="1">
      <alignment horizontal="left"/>
    </xf>
    <xf numFmtId="0" fontId="4" fillId="0" borderId="53" xfId="0" applyFont="1" applyBorder="1" applyAlignment="1">
      <alignment horizontal="left"/>
    </xf>
    <xf numFmtId="180" fontId="4" fillId="0" borderId="0" xfId="0" applyNumberFormat="1" applyFont="1" applyAlignment="1">
      <alignment horizontal="right"/>
    </xf>
    <xf numFmtId="0" fontId="4" fillId="0" borderId="0" xfId="0" quotePrefix="1" applyFont="1" applyAlignment="1">
      <alignment horizontal="left"/>
    </xf>
    <xf numFmtId="184" fontId="4" fillId="0" borderId="0" xfId="0" applyNumberFormat="1" applyFont="1"/>
    <xf numFmtId="0" fontId="4" fillId="0" borderId="53" xfId="0" quotePrefix="1" applyFont="1" applyBorder="1" applyAlignment="1">
      <alignment horizontal="right"/>
    </xf>
    <xf numFmtId="1" fontId="4" fillId="0" borderId="0" xfId="0" applyNumberFormat="1" applyFont="1" applyAlignment="1">
      <alignment horizontal="left" vertical="top"/>
    </xf>
    <xf numFmtId="0" fontId="5" fillId="8" borderId="9" xfId="0" applyFont="1" applyFill="1" applyBorder="1" applyAlignment="1">
      <alignment vertical="top"/>
    </xf>
    <xf numFmtId="173" fontId="5" fillId="8" borderId="10" xfId="0" applyNumberFormat="1" applyFont="1" applyFill="1" applyBorder="1" applyAlignment="1">
      <alignment vertical="top"/>
    </xf>
    <xf numFmtId="2" fontId="5" fillId="8" borderId="10" xfId="0" applyNumberFormat="1" applyFont="1" applyFill="1" applyBorder="1" applyAlignment="1">
      <alignment vertical="top"/>
    </xf>
    <xf numFmtId="2" fontId="5" fillId="8" borderId="11" xfId="0" applyNumberFormat="1" applyFont="1" applyFill="1" applyBorder="1" applyAlignment="1">
      <alignment vertical="top"/>
    </xf>
    <xf numFmtId="0" fontId="97" fillId="9" borderId="0" xfId="0" applyFont="1" applyFill="1" applyProtection="1">
      <protection hidden="1"/>
    </xf>
    <xf numFmtId="167" fontId="97" fillId="3" borderId="0" xfId="0" applyNumberFormat="1" applyFont="1" applyFill="1"/>
    <xf numFmtId="0" fontId="117" fillId="0" borderId="0" xfId="0" applyFont="1"/>
    <xf numFmtId="0" fontId="118" fillId="0" borderId="0" xfId="0" applyFont="1"/>
    <xf numFmtId="0" fontId="119" fillId="0" borderId="0" xfId="0" applyFont="1"/>
    <xf numFmtId="0" fontId="119" fillId="0" borderId="0" xfId="0" applyFont="1" applyAlignment="1">
      <alignment horizontal="right"/>
    </xf>
    <xf numFmtId="186" fontId="12" fillId="0" borderId="0" xfId="0" applyNumberFormat="1" applyFont="1" applyAlignment="1" applyProtection="1">
      <alignment horizontal="left"/>
      <protection hidden="1"/>
    </xf>
    <xf numFmtId="186" fontId="12" fillId="0" borderId="0" xfId="0" applyNumberFormat="1" applyFont="1" applyAlignment="1">
      <alignment horizontal="right"/>
    </xf>
    <xf numFmtId="186" fontId="12" fillId="0" borderId="17" xfId="0" applyNumberFormat="1" applyFont="1" applyBorder="1"/>
    <xf numFmtId="188" fontId="4" fillId="0" borderId="0" xfId="0" applyNumberFormat="1" applyFont="1"/>
    <xf numFmtId="186" fontId="4" fillId="0" borderId="0" xfId="0" applyNumberFormat="1" applyFont="1" applyProtection="1">
      <protection hidden="1"/>
    </xf>
    <xf numFmtId="189" fontId="113" fillId="0" borderId="7" xfId="0" applyNumberFormat="1" applyFont="1" applyBorder="1"/>
    <xf numFmtId="186" fontId="4" fillId="0" borderId="0" xfId="0" applyNumberFormat="1" applyFont="1"/>
    <xf numFmtId="0" fontId="10" fillId="0" borderId="0" xfId="0" applyFont="1"/>
    <xf numFmtId="180" fontId="5" fillId="0" borderId="0" xfId="0" applyNumberFormat="1" applyFont="1" applyAlignment="1">
      <alignment horizontal="left"/>
    </xf>
    <xf numFmtId="182" fontId="4" fillId="0" borderId="0" xfId="0" applyNumberFormat="1" applyFont="1" applyAlignment="1">
      <alignment horizontal="left"/>
    </xf>
    <xf numFmtId="0" fontId="98" fillId="0" borderId="0" xfId="0" applyFont="1" applyAlignment="1">
      <alignment vertical="top" wrapText="1"/>
    </xf>
    <xf numFmtId="0" fontId="107" fillId="0" borderId="0" xfId="0" applyFont="1" applyAlignment="1">
      <alignment vertical="center" wrapText="1"/>
    </xf>
    <xf numFmtId="0" fontId="98" fillId="0" borderId="89" xfId="0" applyFont="1" applyBorder="1" applyAlignment="1">
      <alignment vertical="top" wrapText="1"/>
    </xf>
    <xf numFmtId="0" fontId="98" fillId="0" borderId="90" xfId="0" applyFont="1" applyBorder="1" applyAlignment="1">
      <alignment vertical="top" wrapText="1"/>
    </xf>
    <xf numFmtId="0" fontId="4" fillId="0" borderId="0" xfId="0" applyFont="1" applyProtection="1">
      <protection hidden="1"/>
    </xf>
    <xf numFmtId="0" fontId="4" fillId="0" borderId="0" xfId="0" applyFont="1" applyAlignment="1" applyProtection="1">
      <alignment horizontal="left"/>
      <protection locked="0"/>
    </xf>
    <xf numFmtId="0" fontId="3" fillId="0" borderId="0" xfId="0" applyFont="1" applyAlignment="1" applyProtection="1">
      <alignment horizontal="left"/>
      <protection locked="0"/>
    </xf>
    <xf numFmtId="164" fontId="4" fillId="0" borderId="4" xfId="0" applyNumberFormat="1" applyFont="1" applyBorder="1" applyAlignment="1" applyProtection="1">
      <alignment horizontal="right"/>
      <protection locked="0"/>
    </xf>
    <xf numFmtId="164" fontId="4" fillId="0" borderId="5" xfId="0" applyNumberFormat="1" applyFont="1" applyBorder="1" applyAlignment="1" applyProtection="1">
      <alignment horizontal="right"/>
      <protection locked="0"/>
    </xf>
    <xf numFmtId="187" fontId="4" fillId="0" borderId="0" xfId="0" applyNumberFormat="1" applyFont="1" applyAlignment="1">
      <alignment horizontal="right"/>
    </xf>
    <xf numFmtId="187" fontId="4" fillId="0" borderId="6" xfId="0" applyNumberFormat="1" applyFont="1" applyBorder="1" applyAlignment="1">
      <alignment horizontal="right"/>
    </xf>
    <xf numFmtId="164" fontId="4" fillId="0" borderId="0" xfId="0" applyNumberFormat="1" applyFont="1" applyAlignment="1" applyProtection="1">
      <alignment horizontal="right"/>
      <protection locked="0"/>
    </xf>
    <xf numFmtId="164" fontId="4" fillId="0" borderId="6" xfId="0" applyNumberFormat="1" applyFont="1" applyBorder="1" applyAlignment="1" applyProtection="1">
      <alignment horizontal="right"/>
      <protection locked="0"/>
    </xf>
    <xf numFmtId="14" fontId="4" fillId="0" borderId="0" xfId="0" applyNumberFormat="1" applyFont="1" applyAlignment="1" applyProtection="1">
      <alignment horizontal="right"/>
      <protection locked="0"/>
    </xf>
    <xf numFmtId="0" fontId="84" fillId="7" borderId="9" xfId="0" applyFont="1" applyFill="1" applyBorder="1" applyAlignment="1" applyProtection="1">
      <alignment horizontal="center"/>
      <protection hidden="1"/>
    </xf>
    <xf numFmtId="0" fontId="84" fillId="7" borderId="10" xfId="0" applyFont="1" applyFill="1" applyBorder="1" applyAlignment="1" applyProtection="1">
      <alignment horizontal="center"/>
      <protection hidden="1"/>
    </xf>
    <xf numFmtId="0" fontId="59" fillId="0" borderId="0" xfId="0" applyFont="1" applyAlignment="1">
      <alignment vertical="center" wrapText="1"/>
    </xf>
    <xf numFmtId="0" fontId="24" fillId="0" borderId="23" xfId="0" applyFont="1" applyBorder="1" applyAlignment="1" applyProtection="1">
      <alignment horizontal="left" textRotation="180"/>
      <protection hidden="1"/>
    </xf>
    <xf numFmtId="0" fontId="27" fillId="0" borderId="23" xfId="0" applyFont="1" applyBorder="1" applyAlignment="1" applyProtection="1">
      <alignment vertical="top" textRotation="90"/>
      <protection hidden="1"/>
    </xf>
    <xf numFmtId="0" fontId="36" fillId="0" borderId="0" xfId="0" applyFont="1" applyAlignment="1" applyProtection="1">
      <alignment horizontal="left"/>
      <protection locked="0"/>
    </xf>
    <xf numFmtId="172" fontId="37" fillId="0" borderId="0" xfId="0" applyNumberFormat="1" applyFont="1" applyAlignment="1" applyProtection="1">
      <alignment horizontal="center"/>
      <protection locked="0"/>
    </xf>
    <xf numFmtId="0" fontId="27" fillId="0" borderId="2" xfId="0" applyFont="1" applyBorder="1" applyAlignment="1" applyProtection="1">
      <alignment vertical="top" textRotation="90"/>
      <protection hidden="1"/>
    </xf>
    <xf numFmtId="0" fontId="1" fillId="0" borderId="0" xfId="0" applyFont="1" applyAlignment="1" applyProtection="1">
      <alignment horizontal="left"/>
      <protection locked="0"/>
    </xf>
    <xf numFmtId="172" fontId="1" fillId="0" borderId="0" xfId="0" applyNumberFormat="1" applyFont="1" applyAlignment="1" applyProtection="1">
      <alignment horizontal="center"/>
      <protection locked="0"/>
    </xf>
    <xf numFmtId="0" fontId="5" fillId="8" borderId="10" xfId="0" applyFont="1" applyFill="1" applyBorder="1" applyAlignment="1">
      <alignment horizontal="left" vertical="top" wrapText="1"/>
    </xf>
    <xf numFmtId="0" fontId="5" fillId="8" borderId="4" xfId="0" applyFont="1" applyFill="1" applyBorder="1" applyAlignment="1">
      <alignment horizontal="left" vertical="top" wrapText="1"/>
    </xf>
  </cellXfs>
  <cellStyles count="3">
    <cellStyle name="Comma" xfId="2" builtinId="3"/>
    <cellStyle name="Hyperlink" xfId="1" builtinId="8"/>
    <cellStyle name="Normal" xfId="0" builtinId="0"/>
  </cellStyles>
  <dxfs count="5">
    <dxf>
      <font>
        <b/>
        <i val="0"/>
        <strike val="0"/>
        <condense val="0"/>
        <extend val="0"/>
        <outline val="0"/>
        <shadow val="0"/>
        <u val="none"/>
        <vertAlign val="baseline"/>
        <sz val="10"/>
        <color theme="0" tint="-0.499984740745262"/>
        <name val="Arial"/>
        <scheme val="none"/>
      </font>
      <alignment horizontal="right" vertical="bottom" textRotation="0" wrapText="0" relativeIndent="0" justifyLastLine="0" shrinkToFit="0" readingOrder="0"/>
      <protection locked="1" hidden="1"/>
    </dxf>
    <dxf>
      <border diagonalUp="0" diagonalDown="0">
        <left/>
        <right style="thin">
          <color indexed="32"/>
        </right>
        <top style="thin">
          <color indexed="32"/>
        </top>
        <bottom style="thick">
          <color indexed="32"/>
        </bottom>
        <vertical/>
        <horizontal/>
      </border>
    </dxf>
    <dxf>
      <border diagonalUp="0" diagonalDown="0">
        <left/>
        <right/>
        <top style="thin">
          <color indexed="32"/>
        </top>
        <bottom style="thick">
          <color indexed="32"/>
        </bottom>
        <vertical/>
        <horizontal/>
      </border>
    </dxf>
    <dxf>
      <border diagonalUp="0" diagonalDown="0">
        <left/>
        <right/>
        <top style="thin">
          <color indexed="32"/>
        </top>
        <bottom style="thick">
          <color indexed="32"/>
        </bottom>
        <vertical/>
        <horizontal/>
      </border>
    </dxf>
    <dxf>
      <numFmt numFmtId="0" formatCode="General"/>
      <border diagonalUp="0" diagonalDown="0">
        <left/>
        <right/>
        <top style="thin">
          <color indexed="32"/>
        </top>
        <bottom style="thick">
          <color indexed="32"/>
        </bottom>
        <vertical/>
        <horizontal/>
      </border>
    </dxf>
  </dxfs>
  <tableStyles count="0" defaultTableStyle="TableStyleMedium9" defaultPivotStyle="PivotStyleLight16"/>
  <colors>
    <mruColors>
      <color rgb="FFFFFFCC"/>
      <color rgb="FFCC9900"/>
      <color rgb="FFCCCC00"/>
      <color rgb="FFFF9933"/>
      <color rgb="FFFF9900"/>
      <color rgb="FFFFCC66"/>
      <color rgb="FFCC66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596762</xdr:colOff>
      <xdr:row>116</xdr:row>
      <xdr:rowOff>103532</xdr:rowOff>
    </xdr:from>
    <xdr:to>
      <xdr:col>7</xdr:col>
      <xdr:colOff>230671</xdr:colOff>
      <xdr:row>140</xdr:row>
      <xdr:rowOff>82826</xdr:rowOff>
    </xdr:to>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596762" y="15534032"/>
          <a:ext cx="5348909" cy="47500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You work in the company Tree Fun Toys GmbH which produces furniture on a large scale. </a:t>
          </a:r>
        </a:p>
        <a:p>
          <a:endParaRPr lang="en-GB" sz="1100" b="1" i="1">
            <a:solidFill>
              <a:schemeClr val="dk1"/>
            </a:solidFill>
            <a:effectLst/>
            <a:latin typeface="+mn-lt"/>
            <a:ea typeface="+mn-ea"/>
            <a:cs typeface="+mn-cs"/>
          </a:endParaRPr>
        </a:p>
        <a:p>
          <a:r>
            <a:rPr lang="en-GB" sz="1100" b="1" i="1">
              <a:solidFill>
                <a:schemeClr val="dk1"/>
              </a:solidFill>
              <a:effectLst/>
              <a:latin typeface="+mn-lt"/>
              <a:ea typeface="+mn-ea"/>
              <a:cs typeface="+mn-cs"/>
            </a:rPr>
            <a:t>To do:  </a:t>
          </a:r>
          <a:endParaRPr lang="de-AT" sz="1100">
            <a:solidFill>
              <a:schemeClr val="dk1"/>
            </a:solidFill>
            <a:effectLst/>
            <a:latin typeface="+mn-lt"/>
            <a:ea typeface="+mn-ea"/>
            <a:cs typeface="+mn-cs"/>
          </a:endParaRPr>
        </a:p>
        <a:p>
          <a:pPr lvl="0"/>
          <a:r>
            <a:rPr lang="en-GB" sz="1100" b="1">
              <a:solidFill>
                <a:schemeClr val="dk1"/>
              </a:solidFill>
              <a:effectLst/>
              <a:latin typeface="+mn-lt"/>
              <a:ea typeface="+mn-ea"/>
              <a:cs typeface="+mn-cs"/>
            </a:rPr>
            <a:t>Prepare the entries</a:t>
          </a:r>
          <a:r>
            <a:rPr lang="en-GB" sz="1100">
              <a:solidFill>
                <a:schemeClr val="dk1"/>
              </a:solidFill>
              <a:effectLst/>
              <a:latin typeface="+mn-lt"/>
              <a:ea typeface="+mn-ea"/>
              <a:cs typeface="+mn-cs"/>
            </a:rPr>
            <a:t> for the following transactions for Tree Fun Toys GmbH, paying particular attention to invoices.</a:t>
          </a:r>
        </a:p>
        <a:p>
          <a:pPr lvl="0"/>
          <a:endParaRPr lang="de-AT" sz="1100">
            <a:solidFill>
              <a:schemeClr val="dk1"/>
            </a:solidFill>
            <a:effectLst/>
            <a:latin typeface="+mn-lt"/>
            <a:ea typeface="+mn-ea"/>
            <a:cs typeface="+mn-cs"/>
          </a:endParaRPr>
        </a:p>
        <a:p>
          <a:pPr lvl="0"/>
          <a:r>
            <a:rPr lang="en-GB" sz="1100">
              <a:solidFill>
                <a:schemeClr val="dk1"/>
              </a:solidFill>
              <a:effectLst/>
              <a:latin typeface="+mn-lt"/>
              <a:ea typeface="+mn-ea"/>
              <a:cs typeface="+mn-cs"/>
            </a:rPr>
            <a:t>For each entry </a:t>
          </a:r>
          <a:r>
            <a:rPr lang="en-GB" sz="1100" b="1">
              <a:solidFill>
                <a:schemeClr val="dk1"/>
              </a:solidFill>
              <a:effectLst/>
              <a:latin typeface="+mn-lt"/>
              <a:ea typeface="+mn-ea"/>
              <a:cs typeface="+mn-cs"/>
            </a:rPr>
            <a:t>state the account class and write a short clear description of the account</a:t>
          </a:r>
          <a:r>
            <a:rPr lang="en-GB" sz="1100">
              <a:solidFill>
                <a:schemeClr val="dk1"/>
              </a:solidFill>
              <a:effectLst/>
              <a:latin typeface="+mn-lt"/>
              <a:ea typeface="+mn-ea"/>
              <a:cs typeface="+mn-cs"/>
            </a:rPr>
            <a:t> – use the chart of accounts given to you.</a:t>
          </a:r>
          <a:endParaRPr lang="de-AT" sz="1100">
            <a:solidFill>
              <a:schemeClr val="dk1"/>
            </a:solidFill>
            <a:effectLst/>
            <a:latin typeface="+mn-lt"/>
            <a:ea typeface="+mn-ea"/>
            <a:cs typeface="+mn-cs"/>
          </a:endParaRPr>
        </a:p>
        <a:p>
          <a:pPr lvl="0"/>
          <a:endParaRPr lang="en-GB" sz="1100">
            <a:solidFill>
              <a:schemeClr val="dk1"/>
            </a:solidFill>
            <a:effectLst/>
            <a:latin typeface="+mn-lt"/>
            <a:ea typeface="+mn-ea"/>
            <a:cs typeface="+mn-cs"/>
          </a:endParaRPr>
        </a:p>
        <a:p>
          <a:pPr lvl="0"/>
          <a:r>
            <a:rPr lang="en-GB" sz="1100">
              <a:solidFill>
                <a:schemeClr val="dk1"/>
              </a:solidFill>
              <a:effectLst/>
              <a:latin typeface="+mn-lt"/>
              <a:ea typeface="+mn-ea"/>
              <a:cs typeface="+mn-cs"/>
            </a:rPr>
            <a:t>For each entry state the </a:t>
          </a:r>
          <a:r>
            <a:rPr lang="en-GB" sz="1100" b="1">
              <a:solidFill>
                <a:schemeClr val="dk1"/>
              </a:solidFill>
              <a:effectLst/>
              <a:latin typeface="+mn-lt"/>
              <a:ea typeface="+mn-ea"/>
              <a:cs typeface="+mn-cs"/>
            </a:rPr>
            <a:t>effect</a:t>
          </a:r>
          <a:r>
            <a:rPr lang="en-GB" sz="1100">
              <a:solidFill>
                <a:schemeClr val="dk1"/>
              </a:solidFill>
              <a:effectLst/>
              <a:latin typeface="+mn-lt"/>
              <a:ea typeface="+mn-ea"/>
              <a:cs typeface="+mn-cs"/>
            </a:rPr>
            <a:t> of the transaction on profit or loss (</a:t>
          </a:r>
          <a:r>
            <a:rPr lang="en-GB" sz="1100" b="1">
              <a:solidFill>
                <a:schemeClr val="dk1"/>
              </a:solidFill>
              <a:effectLst/>
              <a:latin typeface="+mn-lt"/>
              <a:ea typeface="+mn-ea"/>
              <a:cs typeface="+mn-cs"/>
            </a:rPr>
            <a:t>↑, ↓, n</a:t>
          </a:r>
          <a:r>
            <a:rPr lang="en-GB" sz="1100">
              <a:solidFill>
                <a:schemeClr val="dk1"/>
              </a:solidFill>
              <a:effectLst/>
              <a:latin typeface="+mn-lt"/>
              <a:ea typeface="+mn-ea"/>
              <a:cs typeface="+mn-cs"/>
            </a:rPr>
            <a:t>)</a:t>
          </a:r>
          <a:endParaRPr lang="de-AT"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de-AT" sz="1100">
            <a:solidFill>
              <a:schemeClr val="dk1"/>
            </a:solidFill>
            <a:effectLst/>
            <a:latin typeface="+mn-lt"/>
            <a:ea typeface="+mn-ea"/>
            <a:cs typeface="+mn-cs"/>
          </a:endParaRPr>
        </a:p>
        <a:p>
          <a:r>
            <a:rPr lang="en-GB" sz="1100">
              <a:solidFill>
                <a:schemeClr val="dk1"/>
              </a:solidFill>
              <a:effectLst/>
              <a:latin typeface="+mn-lt"/>
              <a:ea typeface="+mn-ea"/>
              <a:cs typeface="+mn-cs"/>
            </a:rPr>
            <a:t>Where necessary, calculate the VAT (always 20% of the </a:t>
          </a:r>
          <a:r>
            <a:rPr lang="en-GB" sz="1100" b="1">
              <a:solidFill>
                <a:schemeClr val="dk1"/>
              </a:solidFill>
              <a:effectLst/>
              <a:latin typeface="+mn-lt"/>
              <a:ea typeface="+mn-ea"/>
              <a:cs typeface="+mn-cs"/>
            </a:rPr>
            <a:t>net </a:t>
          </a:r>
          <a:r>
            <a:rPr lang="en-GB" sz="1100">
              <a:solidFill>
                <a:schemeClr val="dk1"/>
              </a:solidFill>
              <a:effectLst/>
              <a:latin typeface="+mn-lt"/>
              <a:ea typeface="+mn-ea"/>
              <a:cs typeface="+mn-cs"/>
            </a:rPr>
            <a:t>amount). </a:t>
          </a:r>
          <a:endParaRPr lang="de-AT"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de-AT" sz="1100">
            <a:solidFill>
              <a:schemeClr val="dk1"/>
            </a:solidFill>
            <a:effectLst/>
            <a:latin typeface="+mn-lt"/>
            <a:ea typeface="+mn-ea"/>
            <a:cs typeface="+mn-cs"/>
          </a:endParaRPr>
        </a:p>
        <a:p>
          <a:r>
            <a:rPr lang="en-GB" sz="1100" b="1">
              <a:solidFill>
                <a:schemeClr val="dk1"/>
              </a:solidFill>
              <a:effectLst/>
              <a:latin typeface="+mn-lt"/>
              <a:ea typeface="+mn-ea"/>
              <a:cs typeface="+mn-cs"/>
            </a:rPr>
            <a:t>Note:</a:t>
          </a:r>
          <a:r>
            <a:rPr lang="en-GB" sz="1100">
              <a:solidFill>
                <a:schemeClr val="dk1"/>
              </a:solidFill>
              <a:effectLst/>
              <a:latin typeface="+mn-lt"/>
              <a:ea typeface="+mn-ea"/>
              <a:cs typeface="+mn-cs"/>
            </a:rPr>
            <a:t> Tree Fun Toys  GmbH always takes advantage of a cash discount when offered.</a:t>
          </a:r>
          <a:endParaRPr lang="de-AT" sz="1100">
            <a:solidFill>
              <a:schemeClr val="dk1"/>
            </a:solidFill>
            <a:effectLst/>
            <a:latin typeface="+mn-lt"/>
            <a:ea typeface="+mn-ea"/>
            <a:cs typeface="+mn-cs"/>
          </a:endParaRPr>
        </a:p>
        <a:p>
          <a:endParaRPr lang="en-GB">
            <a:effectLst/>
          </a:endParaRPr>
        </a:p>
        <a:p>
          <a:r>
            <a:rPr lang="en-GB" sz="1100">
              <a:solidFill>
                <a:schemeClr val="dk1"/>
              </a:solidFill>
              <a:effectLst/>
              <a:latin typeface="+mn-lt"/>
              <a:ea typeface="+mn-ea"/>
              <a:cs typeface="+mn-cs"/>
            </a:rPr>
            <a:t>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You received the following invoice from Bäccman &amp; Berglund (33086). (5.5p)</a:t>
          </a:r>
        </a:p>
        <a:p>
          <a:endParaRPr lang="en-GB">
            <a:effectLst/>
          </a:endParaRPr>
        </a:p>
        <a:p>
          <a:r>
            <a:rPr lang="en-GB" sz="1100">
              <a:solidFill>
                <a:schemeClr val="dk1"/>
              </a:solidFill>
              <a:effectLst/>
              <a:latin typeface="+mn-lt"/>
              <a:ea typeface="+mn-ea"/>
              <a:cs typeface="+mn-cs"/>
            </a:rPr>
            <a:t>b) (3p)</a:t>
          </a:r>
          <a:endParaRPr lang="en-GB">
            <a:effectLst/>
          </a:endParaRPr>
        </a:p>
        <a:p>
          <a:r>
            <a:rPr lang="en-GB" sz="1100">
              <a:solidFill>
                <a:schemeClr val="dk1"/>
              </a:solidFill>
              <a:effectLst/>
              <a:latin typeface="+mn-lt"/>
              <a:ea typeface="+mn-ea"/>
              <a:cs typeface="+mn-cs"/>
            </a:rPr>
            <a:t>Tree Fun Toys  GmbH agreed to organise and pay for the delivery of the products purchased from Bäccman &amp; Berglund. This invoice from Speedy GmbH (33087) arrived with the delivery.</a:t>
          </a:r>
        </a:p>
        <a:p>
          <a:endParaRPr lang="en-GB">
            <a:effectLst/>
          </a:endParaRPr>
        </a:p>
        <a:p>
          <a:r>
            <a:rPr lang="en-GB" sz="1100">
              <a:solidFill>
                <a:schemeClr val="dk1"/>
              </a:solidFill>
              <a:effectLst/>
              <a:latin typeface="+mn-lt"/>
              <a:ea typeface="+mn-ea"/>
              <a:cs typeface="+mn-cs"/>
            </a:rPr>
            <a:t>c) (14.5p</a:t>
          </a:r>
          <a:r>
            <a:rPr lang="de-AT" sz="1100">
              <a:solidFill>
                <a:schemeClr val="dk1"/>
              </a:solidFill>
              <a:effectLst/>
              <a:latin typeface="+mn-lt"/>
              <a:ea typeface="+mn-ea"/>
              <a:cs typeface="+mn-cs"/>
            </a:rPr>
            <a:t>)</a:t>
          </a:r>
          <a:endParaRPr lang="en-GB">
            <a:effectLst/>
          </a:endParaRPr>
        </a:p>
        <a:p>
          <a:r>
            <a:rPr lang="en-GB" sz="1100">
              <a:solidFill>
                <a:schemeClr val="dk1"/>
              </a:solidFill>
              <a:effectLst/>
              <a:latin typeface="+mn-lt"/>
              <a:ea typeface="+mn-ea"/>
              <a:cs typeface="+mn-cs"/>
            </a:rPr>
            <a:t>Tree Fun Toys  GmbH received the following bank statement showing payments made to both Bäccman</a:t>
          </a:r>
          <a:r>
            <a:rPr lang="en-GB" sz="1100" baseline="0">
              <a:solidFill>
                <a:schemeClr val="dk1"/>
              </a:solidFill>
              <a:effectLst/>
              <a:latin typeface="+mn-lt"/>
              <a:ea typeface="+mn-ea"/>
              <a:cs typeface="+mn-cs"/>
            </a:rPr>
            <a:t> &amp; Berglund Sweden AB </a:t>
          </a:r>
          <a:r>
            <a:rPr lang="en-GB" sz="1100">
              <a:solidFill>
                <a:schemeClr val="dk1"/>
              </a:solidFill>
              <a:effectLst/>
              <a:latin typeface="+mn-lt"/>
              <a:ea typeface="+mn-ea"/>
              <a:cs typeface="+mn-cs"/>
            </a:rPr>
            <a:t>and to Speedy GmbH in the last few days:</a:t>
          </a:r>
          <a:endParaRPr lang="en-GB">
            <a:effectLst/>
          </a:endParaRPr>
        </a:p>
        <a:p>
          <a:endParaRPr lang="en-GB"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endParaRPr lang="de-AT" sz="1100">
            <a:solidFill>
              <a:schemeClr val="dk1"/>
            </a:solidFill>
            <a:effectLst/>
            <a:latin typeface="+mn-lt"/>
            <a:ea typeface="+mn-ea"/>
            <a:cs typeface="+mn-cs"/>
          </a:endParaRPr>
        </a:p>
        <a:p>
          <a:endParaRPr lang="de-AT" sz="1100"/>
        </a:p>
      </xdr:txBody>
    </xdr:sp>
    <xdr:clientData/>
  </xdr:twoCellAnchor>
  <xdr:twoCellAnchor editAs="oneCell">
    <xdr:from>
      <xdr:col>7</xdr:col>
      <xdr:colOff>0</xdr:colOff>
      <xdr:row>106</xdr:row>
      <xdr:rowOff>0</xdr:rowOff>
    </xdr:from>
    <xdr:to>
      <xdr:col>9</xdr:col>
      <xdr:colOff>755788</xdr:colOff>
      <xdr:row>108</xdr:row>
      <xdr:rowOff>183459</xdr:rowOff>
    </xdr:to>
    <xdr:pic>
      <xdr:nvPicPr>
        <xdr:cNvPr id="3" name="Grafik 2">
          <a:extLst>
            <a:ext uri="{FF2B5EF4-FFF2-40B4-BE49-F238E27FC236}">
              <a16:creationId xmlns:a16="http://schemas.microsoft.com/office/drawing/2014/main" id="{291F2AAE-8470-49A8-AADB-4BBA8AEA61D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80652" y="16656326"/>
          <a:ext cx="2619375" cy="58102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19050</xdr:colOff>
      <xdr:row>5</xdr:row>
      <xdr:rowOff>152400</xdr:rowOff>
    </xdr:from>
    <xdr:to>
      <xdr:col>4</xdr:col>
      <xdr:colOff>266700</xdr:colOff>
      <xdr:row>8</xdr:row>
      <xdr:rowOff>0</xdr:rowOff>
    </xdr:to>
    <xdr:sp macro="" textlink="">
      <xdr:nvSpPr>
        <xdr:cNvPr id="3" name="WordArt 1">
          <a:extLst>
            <a:ext uri="{FF2B5EF4-FFF2-40B4-BE49-F238E27FC236}">
              <a16:creationId xmlns:a16="http://schemas.microsoft.com/office/drawing/2014/main" id="{E8A60BC4-7656-47B7-9A50-5898E877AB36}"/>
            </a:ext>
          </a:extLst>
        </xdr:cNvPr>
        <xdr:cNvSpPr>
          <a:spLocks noChangeArrowheads="1" noChangeShapeType="1" noTextEdit="1"/>
        </xdr:cNvSpPr>
      </xdr:nvSpPr>
      <xdr:spPr bwMode="auto">
        <a:xfrm>
          <a:off x="923925" y="971550"/>
          <a:ext cx="1571625" cy="333375"/>
        </a:xfrm>
        <a:prstGeom prst="rect">
          <a:avLst/>
        </a:prstGeom>
      </xdr:spPr>
      <xdr:txBody>
        <a:bodyPr wrap="none" fromWordArt="1">
          <a:prstTxWarp prst="textPlain">
            <a:avLst>
              <a:gd name="adj" fmla="val 50000"/>
            </a:avLst>
          </a:prstTxWarp>
        </a:bodyPr>
        <a:lstStyle/>
        <a:p>
          <a:pPr algn="ctr" rtl="0"/>
          <a:r>
            <a:rPr lang="de-AT" sz="3600" i="1" kern="10" spc="0">
              <a:ln w="9525">
                <a:solidFill>
                  <a:srgbClr val="000000"/>
                </a:solidFill>
                <a:round/>
                <a:headEnd/>
                <a:tailEnd/>
              </a:ln>
              <a:gradFill rotWithShape="1">
                <a:gsLst>
                  <a:gs pos="0">
                    <a:srgbClr val="92CDDC"/>
                  </a:gs>
                  <a:gs pos="100000">
                    <a:srgbClr val="31849B"/>
                  </a:gs>
                </a:gsLst>
                <a:lin ang="5400000" scaled="1"/>
              </a:gradFill>
              <a:effectLst>
                <a:outerShdw dist="35921" dir="2700000" algn="ctr" rotWithShape="0">
                  <a:srgbClr val="808080">
                    <a:alpha val="80000"/>
                  </a:srgbClr>
                </a:outerShdw>
              </a:effectLst>
              <a:latin typeface="Arial Black"/>
            </a:rPr>
            <a:t>Vienna Bank</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38100</xdr:colOff>
      <xdr:row>5</xdr:row>
      <xdr:rowOff>152400</xdr:rowOff>
    </xdr:from>
    <xdr:to>
      <xdr:col>4</xdr:col>
      <xdr:colOff>285750</xdr:colOff>
      <xdr:row>8</xdr:row>
      <xdr:rowOff>0</xdr:rowOff>
    </xdr:to>
    <xdr:sp macro="" textlink="">
      <xdr:nvSpPr>
        <xdr:cNvPr id="3" name="WordArt 1">
          <a:extLst>
            <a:ext uri="{FF2B5EF4-FFF2-40B4-BE49-F238E27FC236}">
              <a16:creationId xmlns:a16="http://schemas.microsoft.com/office/drawing/2014/main" id="{E54A8B68-1A32-4266-A4B6-6E3BA7B455C6}"/>
            </a:ext>
          </a:extLst>
        </xdr:cNvPr>
        <xdr:cNvSpPr>
          <a:spLocks noChangeArrowheads="1" noChangeShapeType="1" noTextEdit="1"/>
        </xdr:cNvSpPr>
      </xdr:nvSpPr>
      <xdr:spPr bwMode="auto">
        <a:xfrm>
          <a:off x="942975" y="971550"/>
          <a:ext cx="1571625" cy="333375"/>
        </a:xfrm>
        <a:prstGeom prst="rect">
          <a:avLst/>
        </a:prstGeom>
      </xdr:spPr>
      <xdr:txBody>
        <a:bodyPr wrap="none" fromWordArt="1">
          <a:prstTxWarp prst="textPlain">
            <a:avLst>
              <a:gd name="adj" fmla="val 50000"/>
            </a:avLst>
          </a:prstTxWarp>
        </a:bodyPr>
        <a:lstStyle/>
        <a:p>
          <a:pPr algn="ctr" rtl="0"/>
          <a:r>
            <a:rPr lang="de-AT" sz="3600" i="1" kern="10" spc="0">
              <a:ln w="9525">
                <a:solidFill>
                  <a:srgbClr val="000000"/>
                </a:solidFill>
                <a:round/>
                <a:headEnd/>
                <a:tailEnd/>
              </a:ln>
              <a:gradFill rotWithShape="1">
                <a:gsLst>
                  <a:gs pos="0">
                    <a:srgbClr val="92CDDC"/>
                  </a:gs>
                  <a:gs pos="100000">
                    <a:srgbClr val="31849B"/>
                  </a:gs>
                </a:gsLst>
                <a:lin ang="5400000" scaled="1"/>
              </a:gradFill>
              <a:effectLst>
                <a:outerShdw dist="35921" dir="2700000" algn="ctr" rotWithShape="0">
                  <a:srgbClr val="808080">
                    <a:alpha val="80000"/>
                  </a:srgbClr>
                </a:outerShdw>
              </a:effectLst>
              <a:latin typeface="Arial Black"/>
            </a:rPr>
            <a:t>Vienna Bank</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95250</xdr:colOff>
      <xdr:row>1</xdr:row>
      <xdr:rowOff>104775</xdr:rowOff>
    </xdr:from>
    <xdr:to>
      <xdr:col>11</xdr:col>
      <xdr:colOff>893298</xdr:colOff>
      <xdr:row>4</xdr:row>
      <xdr:rowOff>47344</xdr:rowOff>
    </xdr:to>
    <xdr:pic>
      <xdr:nvPicPr>
        <xdr:cNvPr id="4" name="Grafik 3">
          <a:extLst>
            <a:ext uri="{FF2B5EF4-FFF2-40B4-BE49-F238E27FC236}">
              <a16:creationId xmlns:a16="http://schemas.microsoft.com/office/drawing/2014/main" id="{868AB957-F6A8-426A-9330-1FD7A8B4AC79}"/>
            </a:ext>
          </a:extLst>
        </xdr:cNvPr>
        <xdr:cNvPicPr>
          <a:picLocks noChangeAspect="1"/>
        </xdr:cNvPicPr>
      </xdr:nvPicPr>
      <xdr:blipFill>
        <a:blip xmlns:r="http://schemas.openxmlformats.org/officeDocument/2006/relationships" r:embed="rId1"/>
        <a:stretch>
          <a:fillRect/>
        </a:stretch>
      </xdr:blipFill>
      <xdr:spPr>
        <a:xfrm>
          <a:off x="5010150" y="276225"/>
          <a:ext cx="798048" cy="94269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228599</xdr:colOff>
      <xdr:row>1</xdr:row>
      <xdr:rowOff>233274</xdr:rowOff>
    </xdr:from>
    <xdr:to>
      <xdr:col>4</xdr:col>
      <xdr:colOff>28574</xdr:colOff>
      <xdr:row>7</xdr:row>
      <xdr:rowOff>133385</xdr:rowOff>
    </xdr:to>
    <xdr:pic>
      <xdr:nvPicPr>
        <xdr:cNvPr id="2" name="Grafik 1">
          <a:extLst>
            <a:ext uri="{FF2B5EF4-FFF2-40B4-BE49-F238E27FC236}">
              <a16:creationId xmlns:a16="http://schemas.microsoft.com/office/drawing/2014/main" id="{514CAE32-EE28-47CB-A097-3AB44AAD6106}"/>
            </a:ext>
          </a:extLst>
        </xdr:cNvPr>
        <xdr:cNvPicPr>
          <a:picLocks noChangeAspect="1"/>
        </xdr:cNvPicPr>
      </xdr:nvPicPr>
      <xdr:blipFill>
        <a:blip xmlns:r="http://schemas.openxmlformats.org/officeDocument/2006/relationships" r:embed="rId1"/>
        <a:stretch>
          <a:fillRect/>
        </a:stretch>
      </xdr:blipFill>
      <xdr:spPr>
        <a:xfrm>
          <a:off x="504824" y="385674"/>
          <a:ext cx="1152525" cy="1185986"/>
        </a:xfrm>
        <a:prstGeom prst="rect">
          <a:avLst/>
        </a:prstGeom>
      </xdr:spPr>
    </xdr:pic>
    <xdr:clientData/>
  </xdr:twoCellAnchor>
  <xdr:twoCellAnchor editAs="oneCell">
    <xdr:from>
      <xdr:col>19</xdr:col>
      <xdr:colOff>0</xdr:colOff>
      <xdr:row>2</xdr:row>
      <xdr:rowOff>0</xdr:rowOff>
    </xdr:from>
    <xdr:to>
      <xdr:col>20</xdr:col>
      <xdr:colOff>147930</xdr:colOff>
      <xdr:row>8</xdr:row>
      <xdr:rowOff>70209</xdr:rowOff>
    </xdr:to>
    <xdr:pic>
      <xdr:nvPicPr>
        <xdr:cNvPr id="3" name="Grafik 2">
          <a:extLst>
            <a:ext uri="{FF2B5EF4-FFF2-40B4-BE49-F238E27FC236}">
              <a16:creationId xmlns:a16="http://schemas.microsoft.com/office/drawing/2014/main" id="{CD569828-AD62-4586-A74C-75EBDBE7ACBD}"/>
            </a:ext>
          </a:extLst>
        </xdr:cNvPr>
        <xdr:cNvPicPr>
          <a:picLocks noChangeAspect="1"/>
        </xdr:cNvPicPr>
      </xdr:nvPicPr>
      <xdr:blipFill>
        <a:blip xmlns:r="http://schemas.openxmlformats.org/officeDocument/2006/relationships" r:embed="rId2"/>
        <a:stretch>
          <a:fillRect/>
        </a:stretch>
      </xdr:blipFill>
      <xdr:spPr>
        <a:xfrm>
          <a:off x="11887200" y="485775"/>
          <a:ext cx="1176630" cy="12132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228599</xdr:colOff>
      <xdr:row>1</xdr:row>
      <xdr:rowOff>233274</xdr:rowOff>
    </xdr:from>
    <xdr:to>
      <xdr:col>4</xdr:col>
      <xdr:colOff>28574</xdr:colOff>
      <xdr:row>7</xdr:row>
      <xdr:rowOff>133385</xdr:rowOff>
    </xdr:to>
    <xdr:pic>
      <xdr:nvPicPr>
        <xdr:cNvPr id="6" name="Grafik 5">
          <a:extLst>
            <a:ext uri="{FF2B5EF4-FFF2-40B4-BE49-F238E27FC236}">
              <a16:creationId xmlns:a16="http://schemas.microsoft.com/office/drawing/2014/main" id="{E6974690-0099-6982-FDE4-3AF259B07AC0}"/>
            </a:ext>
          </a:extLst>
        </xdr:cNvPr>
        <xdr:cNvPicPr>
          <a:picLocks noChangeAspect="1"/>
        </xdr:cNvPicPr>
      </xdr:nvPicPr>
      <xdr:blipFill>
        <a:blip xmlns:r="http://schemas.openxmlformats.org/officeDocument/2006/relationships" r:embed="rId1"/>
        <a:stretch>
          <a:fillRect/>
        </a:stretch>
      </xdr:blipFill>
      <xdr:spPr>
        <a:xfrm>
          <a:off x="504824" y="385674"/>
          <a:ext cx="1152525" cy="1185986"/>
        </a:xfrm>
        <a:prstGeom prst="rect">
          <a:avLst/>
        </a:prstGeom>
      </xdr:spPr>
    </xdr:pic>
    <xdr:clientData/>
  </xdr:twoCellAnchor>
  <xdr:twoCellAnchor editAs="oneCell">
    <xdr:from>
      <xdr:col>17</xdr:col>
      <xdr:colOff>0</xdr:colOff>
      <xdr:row>2</xdr:row>
      <xdr:rowOff>0</xdr:rowOff>
    </xdr:from>
    <xdr:to>
      <xdr:col>18</xdr:col>
      <xdr:colOff>147930</xdr:colOff>
      <xdr:row>8</xdr:row>
      <xdr:rowOff>70209</xdr:rowOff>
    </xdr:to>
    <xdr:pic>
      <xdr:nvPicPr>
        <xdr:cNvPr id="7" name="Grafik 6">
          <a:extLst>
            <a:ext uri="{FF2B5EF4-FFF2-40B4-BE49-F238E27FC236}">
              <a16:creationId xmlns:a16="http://schemas.microsoft.com/office/drawing/2014/main" id="{A3E34E47-C596-7CC5-3BEF-C4D2EBC05E1D}"/>
            </a:ext>
          </a:extLst>
        </xdr:cNvPr>
        <xdr:cNvPicPr>
          <a:picLocks noChangeAspect="1"/>
        </xdr:cNvPicPr>
      </xdr:nvPicPr>
      <xdr:blipFill>
        <a:blip xmlns:r="http://schemas.openxmlformats.org/officeDocument/2006/relationships" r:embed="rId2"/>
        <a:stretch>
          <a:fillRect/>
        </a:stretch>
      </xdr:blipFill>
      <xdr:spPr>
        <a:xfrm>
          <a:off x="11163300" y="485775"/>
          <a:ext cx="1176630" cy="121320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95250</xdr:colOff>
      <xdr:row>1</xdr:row>
      <xdr:rowOff>104775</xdr:rowOff>
    </xdr:from>
    <xdr:to>
      <xdr:col>12</xdr:col>
      <xdr:colOff>36048</xdr:colOff>
      <xdr:row>4</xdr:row>
      <xdr:rowOff>47344</xdr:rowOff>
    </xdr:to>
    <xdr:pic>
      <xdr:nvPicPr>
        <xdr:cNvPr id="8" name="Grafik 7">
          <a:extLst>
            <a:ext uri="{FF2B5EF4-FFF2-40B4-BE49-F238E27FC236}">
              <a16:creationId xmlns:a16="http://schemas.microsoft.com/office/drawing/2014/main" id="{B800A4C8-B9AA-40D8-855C-B2BA4DC077C0}"/>
            </a:ext>
          </a:extLst>
        </xdr:cNvPr>
        <xdr:cNvPicPr>
          <a:picLocks noChangeAspect="1"/>
        </xdr:cNvPicPr>
      </xdr:nvPicPr>
      <xdr:blipFill>
        <a:blip xmlns:r="http://schemas.openxmlformats.org/officeDocument/2006/relationships" r:embed="rId1"/>
        <a:stretch>
          <a:fillRect/>
        </a:stretch>
      </xdr:blipFill>
      <xdr:spPr>
        <a:xfrm>
          <a:off x="5114925" y="276225"/>
          <a:ext cx="798048" cy="94269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139700</xdr:colOff>
      <xdr:row>29</xdr:row>
      <xdr:rowOff>28575</xdr:rowOff>
    </xdr:from>
    <xdr:to>
      <xdr:col>10</xdr:col>
      <xdr:colOff>479425</xdr:colOff>
      <xdr:row>32</xdr:row>
      <xdr:rowOff>19050</xdr:rowOff>
    </xdr:to>
    <xdr:sp macro="" textlink="">
      <xdr:nvSpPr>
        <xdr:cNvPr id="8" name="Freeform 8">
          <a:extLst>
            <a:ext uri="{FF2B5EF4-FFF2-40B4-BE49-F238E27FC236}">
              <a16:creationId xmlns:a16="http://schemas.microsoft.com/office/drawing/2014/main" id="{00000000-0008-0000-0400-000008000000}"/>
            </a:ext>
          </a:extLst>
        </xdr:cNvPr>
        <xdr:cNvSpPr>
          <a:spLocks/>
        </xdr:cNvSpPr>
      </xdr:nvSpPr>
      <xdr:spPr bwMode="auto">
        <a:xfrm>
          <a:off x="7969250" y="5153025"/>
          <a:ext cx="339725" cy="619125"/>
        </a:xfrm>
        <a:custGeom>
          <a:avLst/>
          <a:gdLst/>
          <a:ahLst/>
          <a:cxnLst>
            <a:cxn ang="0">
              <a:pos x="0" y="0"/>
            </a:cxn>
            <a:cxn ang="0">
              <a:pos x="0" y="67"/>
            </a:cxn>
            <a:cxn ang="0">
              <a:pos x="38" y="33"/>
            </a:cxn>
            <a:cxn ang="0">
              <a:pos x="0" y="0"/>
            </a:cxn>
          </a:cxnLst>
          <a:rect l="0" t="0" r="r" b="b"/>
          <a:pathLst>
            <a:path w="38" h="67">
              <a:moveTo>
                <a:pt x="0" y="0"/>
              </a:moveTo>
              <a:lnTo>
                <a:pt x="0" y="67"/>
              </a:lnTo>
              <a:lnTo>
                <a:pt x="38" y="33"/>
              </a:lnTo>
              <a:lnTo>
                <a:pt x="0" y="0"/>
              </a:lnTo>
              <a:close/>
            </a:path>
          </a:pathLst>
        </a:custGeom>
        <a:solidFill>
          <a:schemeClr val="bg1">
            <a:lumMod val="50000"/>
          </a:schemeClr>
        </a:solidFill>
        <a:ln w="9525" cap="flat" cmpd="sng">
          <a:noFill/>
          <a:prstDash val="solid"/>
          <a:round/>
          <a:headEnd/>
          <a:tailEnd/>
        </a:ln>
      </xdr:spPr>
      <xdr:txBody>
        <a:bodyPr vertOverflow="clip" wrap="square" lIns="18288" tIns="0" rIns="0" bIns="0" rtlCol="0" anchor="ctr" upright="1"/>
        <a:lstStyle/>
        <a:p>
          <a:pPr algn="ctr"/>
          <a:endParaRPr lang="de-DE"/>
        </a:p>
      </xdr:txBody>
    </xdr:sp>
    <xdr:clientData/>
  </xdr:twoCellAnchor>
  <xdr:oneCellAnchor>
    <xdr:from>
      <xdr:col>4</xdr:col>
      <xdr:colOff>797984</xdr:colOff>
      <xdr:row>2</xdr:row>
      <xdr:rowOff>124364</xdr:rowOff>
    </xdr:from>
    <xdr:ext cx="4897966" cy="523336"/>
    <xdr:sp macro="" textlink="">
      <xdr:nvSpPr>
        <xdr:cNvPr id="9" name="Rechteck 8">
          <a:extLst>
            <a:ext uri="{FF2B5EF4-FFF2-40B4-BE49-F238E27FC236}">
              <a16:creationId xmlns:a16="http://schemas.microsoft.com/office/drawing/2014/main" id="{00000000-0008-0000-0400-000009000000}"/>
            </a:ext>
          </a:extLst>
        </xdr:cNvPr>
        <xdr:cNvSpPr/>
      </xdr:nvSpPr>
      <xdr:spPr>
        <a:xfrm>
          <a:off x="3922184" y="448214"/>
          <a:ext cx="4897966" cy="523336"/>
        </a:xfrm>
        <a:prstGeom prst="rect">
          <a:avLst/>
        </a:prstGeom>
        <a:noFill/>
      </xdr:spPr>
      <xdr:txBody>
        <a:bodyPr wrap="square" lIns="91440" tIns="45720" rIns="91440" bIns="45720">
          <a:noAutofit/>
        </a:bodyPr>
        <a:lstStyle/>
        <a:p>
          <a:pPr algn="ctr"/>
          <a:r>
            <a:rPr lang="de-DE" sz="3600" b="1" i="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rPr>
            <a:t>Speedy GmbH</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10</xdr:col>
      <xdr:colOff>139700</xdr:colOff>
      <xdr:row>33</xdr:row>
      <xdr:rowOff>28575</xdr:rowOff>
    </xdr:from>
    <xdr:to>
      <xdr:col>10</xdr:col>
      <xdr:colOff>479425</xdr:colOff>
      <xdr:row>37</xdr:row>
      <xdr:rowOff>9525</xdr:rowOff>
    </xdr:to>
    <xdr:sp macro="" textlink="">
      <xdr:nvSpPr>
        <xdr:cNvPr id="5" name="Freeform 8">
          <a:extLst>
            <a:ext uri="{FF2B5EF4-FFF2-40B4-BE49-F238E27FC236}">
              <a16:creationId xmlns:a16="http://schemas.microsoft.com/office/drawing/2014/main" id="{DDDA230D-34FB-450A-8F23-ED0B61E7E541}"/>
            </a:ext>
          </a:extLst>
        </xdr:cNvPr>
        <xdr:cNvSpPr>
          <a:spLocks/>
        </xdr:cNvSpPr>
      </xdr:nvSpPr>
      <xdr:spPr bwMode="auto">
        <a:xfrm>
          <a:off x="7388225" y="7658100"/>
          <a:ext cx="339725" cy="790575"/>
        </a:xfrm>
        <a:custGeom>
          <a:avLst/>
          <a:gdLst/>
          <a:ahLst/>
          <a:cxnLst>
            <a:cxn ang="0">
              <a:pos x="0" y="0"/>
            </a:cxn>
            <a:cxn ang="0">
              <a:pos x="0" y="67"/>
            </a:cxn>
            <a:cxn ang="0">
              <a:pos x="38" y="33"/>
            </a:cxn>
            <a:cxn ang="0">
              <a:pos x="0" y="0"/>
            </a:cxn>
          </a:cxnLst>
          <a:rect l="0" t="0" r="r" b="b"/>
          <a:pathLst>
            <a:path w="38" h="67">
              <a:moveTo>
                <a:pt x="0" y="0"/>
              </a:moveTo>
              <a:lnTo>
                <a:pt x="0" y="67"/>
              </a:lnTo>
              <a:lnTo>
                <a:pt x="38" y="33"/>
              </a:lnTo>
              <a:lnTo>
                <a:pt x="0" y="0"/>
              </a:lnTo>
              <a:close/>
            </a:path>
          </a:pathLst>
        </a:custGeom>
        <a:solidFill>
          <a:schemeClr val="accent4">
            <a:lumMod val="75000"/>
          </a:schemeClr>
        </a:solidFill>
        <a:ln w="9525" cap="flat" cmpd="sng">
          <a:noFill/>
          <a:prstDash val="solid"/>
          <a:round/>
          <a:headEnd/>
          <a:tailEnd/>
        </a:ln>
      </xdr:spPr>
      <xdr:txBody>
        <a:bodyPr vertOverflow="clip" wrap="square" lIns="18288" tIns="0" rIns="0" bIns="0" rtlCol="0" anchor="ctr" upright="1"/>
        <a:lstStyle/>
        <a:p>
          <a:pPr algn="ctr"/>
          <a:endParaRPr lang="de-DE"/>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133350</xdr:colOff>
      <xdr:row>3</xdr:row>
      <xdr:rowOff>38099</xdr:rowOff>
    </xdr:from>
    <xdr:to>
      <xdr:col>4</xdr:col>
      <xdr:colOff>704850</xdr:colOff>
      <xdr:row>4</xdr:row>
      <xdr:rowOff>171449</xdr:rowOff>
    </xdr:to>
    <xdr:sp macro="" textlink="">
      <xdr:nvSpPr>
        <xdr:cNvPr id="2" name="WordArt 1">
          <a:extLst>
            <a:ext uri="{FF2B5EF4-FFF2-40B4-BE49-F238E27FC236}">
              <a16:creationId xmlns:a16="http://schemas.microsoft.com/office/drawing/2014/main" id="{27D03C07-9EB7-4AF1-A2E5-F866D595A762}"/>
            </a:ext>
          </a:extLst>
        </xdr:cNvPr>
        <xdr:cNvSpPr>
          <a:spLocks noChangeArrowheads="1" noChangeShapeType="1" noTextEdit="1"/>
        </xdr:cNvSpPr>
      </xdr:nvSpPr>
      <xdr:spPr bwMode="auto">
        <a:xfrm>
          <a:off x="971550" y="209549"/>
          <a:ext cx="1704975" cy="361950"/>
        </a:xfrm>
        <a:prstGeom prst="rect">
          <a:avLst/>
        </a:prstGeom>
      </xdr:spPr>
      <xdr:txBody>
        <a:bodyPr wrap="none" fromWordArt="1">
          <a:prstTxWarp prst="textPlain">
            <a:avLst>
              <a:gd name="adj" fmla="val 50000"/>
            </a:avLst>
          </a:prstTxWarp>
        </a:bodyPr>
        <a:lstStyle/>
        <a:p>
          <a:pPr algn="ctr" rtl="0"/>
          <a:r>
            <a:rPr lang="de-AT" sz="3600" i="1" kern="10" spc="0">
              <a:ln w="9525">
                <a:solidFill>
                  <a:srgbClr val="000000"/>
                </a:solidFill>
                <a:round/>
                <a:headEnd/>
                <a:tailEnd/>
              </a:ln>
              <a:gradFill rotWithShape="1">
                <a:gsLst>
                  <a:gs pos="0">
                    <a:srgbClr val="92CDDC"/>
                  </a:gs>
                  <a:gs pos="100000">
                    <a:srgbClr val="31849B"/>
                  </a:gs>
                </a:gsLst>
                <a:lin ang="5400000" scaled="1"/>
              </a:gradFill>
              <a:effectLst>
                <a:outerShdw dist="35921" dir="2700000" algn="ctr" rotWithShape="0">
                  <a:srgbClr val="808080">
                    <a:alpha val="80000"/>
                  </a:srgbClr>
                </a:outerShdw>
              </a:effectLst>
              <a:latin typeface="Arial Black"/>
            </a:rPr>
            <a:t>Vienna Bank</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47625</xdr:colOff>
      <xdr:row>5</xdr:row>
      <xdr:rowOff>142875</xdr:rowOff>
    </xdr:from>
    <xdr:to>
      <xdr:col>4</xdr:col>
      <xdr:colOff>295275</xdr:colOff>
      <xdr:row>7</xdr:row>
      <xdr:rowOff>152400</xdr:rowOff>
    </xdr:to>
    <xdr:sp macro="" textlink="">
      <xdr:nvSpPr>
        <xdr:cNvPr id="6" name="WordArt 1">
          <a:extLst>
            <a:ext uri="{FF2B5EF4-FFF2-40B4-BE49-F238E27FC236}">
              <a16:creationId xmlns:a16="http://schemas.microsoft.com/office/drawing/2014/main" id="{7AA34746-80A6-442B-888F-A417482F68E9}"/>
            </a:ext>
          </a:extLst>
        </xdr:cNvPr>
        <xdr:cNvSpPr>
          <a:spLocks noChangeArrowheads="1" noChangeShapeType="1" noTextEdit="1"/>
        </xdr:cNvSpPr>
      </xdr:nvSpPr>
      <xdr:spPr bwMode="auto">
        <a:xfrm>
          <a:off x="952500" y="962025"/>
          <a:ext cx="1571625" cy="333375"/>
        </a:xfrm>
        <a:prstGeom prst="rect">
          <a:avLst/>
        </a:prstGeom>
      </xdr:spPr>
      <xdr:txBody>
        <a:bodyPr wrap="none" fromWordArt="1">
          <a:prstTxWarp prst="textPlain">
            <a:avLst>
              <a:gd name="adj" fmla="val 50000"/>
            </a:avLst>
          </a:prstTxWarp>
        </a:bodyPr>
        <a:lstStyle/>
        <a:p>
          <a:pPr algn="ctr" rtl="0"/>
          <a:r>
            <a:rPr lang="de-AT" sz="3600" i="1" kern="10" spc="0">
              <a:ln w="9525">
                <a:solidFill>
                  <a:srgbClr val="000000"/>
                </a:solidFill>
                <a:round/>
                <a:headEnd/>
                <a:tailEnd/>
              </a:ln>
              <a:gradFill rotWithShape="1">
                <a:gsLst>
                  <a:gs pos="0">
                    <a:srgbClr val="92CDDC"/>
                  </a:gs>
                  <a:gs pos="100000">
                    <a:srgbClr val="31849B"/>
                  </a:gs>
                </a:gsLst>
                <a:lin ang="5400000" scaled="1"/>
              </a:gradFill>
              <a:effectLst>
                <a:outerShdw dist="35921" dir="2700000" algn="ctr" rotWithShape="0">
                  <a:srgbClr val="808080">
                    <a:alpha val="80000"/>
                  </a:srgbClr>
                </a:outerShdw>
              </a:effectLst>
              <a:latin typeface="Arial Black"/>
            </a:rPr>
            <a:t>Vienna Bank</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elle2" displayName="Tabelle2" ref="C19:L36" totalsRowShown="0">
  <autoFilter ref="C19:L36" xr:uid="{00000000-0009-0000-0100-000004000000}"/>
  <tableColumns count="10">
    <tableColumn id="1" xr3:uid="{00000000-0010-0000-0000-000001000000}" name="Spalte1"/>
    <tableColumn id="2" xr3:uid="{00000000-0010-0000-0000-000002000000}" name="Spalte2"/>
    <tableColumn id="3" xr3:uid="{00000000-0010-0000-0000-000003000000}" name="Spalte3" dataDxfId="4">
      <calculatedColumnFormula>Information!C59</calculatedColumnFormula>
    </tableColumn>
    <tableColumn id="4" xr3:uid="{00000000-0010-0000-0000-000004000000}" name="Spalte4" dataDxfId="3"/>
    <tableColumn id="5" xr3:uid="{00000000-0010-0000-0000-000005000000}" name="Spalte5" dataDxfId="2"/>
    <tableColumn id="6" xr3:uid="{00000000-0010-0000-0000-000006000000}" name="Spalte6" dataDxfId="1"/>
    <tableColumn id="7" xr3:uid="{00000000-0010-0000-0000-000007000000}" name="Spalte7"/>
    <tableColumn id="10" xr3:uid="{00000000-0010-0000-0000-00000A000000}" name="Spalte72" dataDxfId="0"/>
    <tableColumn id="8" xr3:uid="{00000000-0010-0000-0000-000008000000}" name="Spalte8"/>
    <tableColumn id="9" xr3:uid="{00000000-0010-0000-0000-000009000000}" name="Spalte9"/>
  </tableColumns>
  <tableStyleInfo name="TableStyleLight1" showFirstColumn="0" showLastColumn="0" showRowStripes="1" showColumnStripes="0"/>
</table>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istvanmolnar.com/contact" TargetMode="External"/><Relationship Id="rId3" Type="http://schemas.openxmlformats.org/officeDocument/2006/relationships/hyperlink" Target="http://www.wittransport.com/" TargetMode="External"/><Relationship Id="rId7" Type="http://schemas.openxmlformats.org/officeDocument/2006/relationships/hyperlink" Target="http://www.istvanmolnar.com/" TargetMode="External"/><Relationship Id="rId12" Type="http://schemas.openxmlformats.org/officeDocument/2006/relationships/drawing" Target="../drawings/drawing1.xml"/><Relationship Id="rId2" Type="http://schemas.openxmlformats.org/officeDocument/2006/relationships/hyperlink" Target="http://www.speedy.at/" TargetMode="External"/><Relationship Id="rId1" Type="http://schemas.openxmlformats.org/officeDocument/2006/relationships/hyperlink" Target="https://bb-sweden.se/" TargetMode="External"/><Relationship Id="rId6" Type="http://schemas.openxmlformats.org/officeDocument/2006/relationships/hyperlink" Target="mailto:istvanmolnar@gmail.com" TargetMode="External"/><Relationship Id="rId11" Type="http://schemas.openxmlformats.org/officeDocument/2006/relationships/printerSettings" Target="../printerSettings/printerSettings1.bin"/><Relationship Id="rId5" Type="http://schemas.openxmlformats.org/officeDocument/2006/relationships/hyperlink" Target="http://www.gagnon.ch/" TargetMode="External"/><Relationship Id="rId10" Type="http://schemas.openxmlformats.org/officeDocument/2006/relationships/hyperlink" Target="http://www.cranntoys.at/" TargetMode="External"/><Relationship Id="rId4" Type="http://schemas.openxmlformats.org/officeDocument/2006/relationships/hyperlink" Target="mailto:fricker@gagnon.ch" TargetMode="External"/><Relationship Id="rId9" Type="http://schemas.openxmlformats.org/officeDocument/2006/relationships/hyperlink" Target="mailto:cranntoys@aon.at"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info@uttoluxurysuites.com" TargetMode="External"/></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97"/>
  <sheetViews>
    <sheetView showGridLines="0" topLeftCell="I1" zoomScale="115" zoomScaleNormal="115" workbookViewId="0">
      <selection activeCell="K8" sqref="K8"/>
    </sheetView>
  </sheetViews>
  <sheetFormatPr defaultColWidth="11.5546875" defaultRowHeight="13.2"/>
  <cols>
    <col min="2" max="2" width="15.6640625" customWidth="1"/>
    <col min="3" max="3" width="21.33203125" customWidth="1"/>
    <col min="4" max="4" width="14" customWidth="1"/>
    <col min="5" max="5" width="26.109375" customWidth="1"/>
    <col min="8" max="8" width="16.5546875" customWidth="1"/>
    <col min="10" max="10" width="24" customWidth="1"/>
    <col min="11" max="11" width="39.109375" customWidth="1"/>
    <col min="12" max="12" width="12.88671875" customWidth="1"/>
    <col min="14" max="14" width="33.6640625" customWidth="1"/>
  </cols>
  <sheetData>
    <row r="1" spans="1:29">
      <c r="A1" s="551"/>
      <c r="B1" s="551"/>
      <c r="C1" s="551"/>
      <c r="D1" s="551"/>
      <c r="E1" s="551"/>
      <c r="F1" s="551"/>
      <c r="G1" s="551"/>
      <c r="H1" s="551"/>
      <c r="I1" s="551"/>
      <c r="J1" s="551"/>
      <c r="K1" s="551"/>
      <c r="L1" s="551"/>
      <c r="M1" s="551"/>
      <c r="N1" s="551"/>
      <c r="O1" s="551"/>
      <c r="P1" s="551"/>
      <c r="Q1" s="551"/>
      <c r="R1" s="551"/>
      <c r="S1" s="551"/>
      <c r="T1" s="551"/>
      <c r="U1" s="551"/>
      <c r="V1" s="551"/>
      <c r="W1" s="551"/>
      <c r="X1" s="551"/>
      <c r="Y1" s="551"/>
      <c r="Z1" s="551"/>
      <c r="AA1" s="551"/>
      <c r="AB1" s="551"/>
      <c r="AC1" s="551"/>
    </row>
    <row r="2" spans="1:29">
      <c r="A2" s="551"/>
      <c r="B2" s="551" t="s">
        <v>17</v>
      </c>
      <c r="C2" s="551"/>
      <c r="D2" s="551"/>
      <c r="E2" s="551"/>
      <c r="F2" s="551"/>
      <c r="G2" s="551"/>
      <c r="H2" s="551"/>
      <c r="I2" s="551" t="s">
        <v>23</v>
      </c>
      <c r="J2" s="703">
        <v>44926</v>
      </c>
      <c r="K2" s="563" t="s">
        <v>406</v>
      </c>
      <c r="L2" s="551"/>
      <c r="M2" s="551"/>
      <c r="N2" s="551"/>
      <c r="O2" s="551"/>
      <c r="P2" s="551"/>
      <c r="Q2" s="551"/>
      <c r="R2" s="551"/>
      <c r="S2" s="551"/>
      <c r="T2" s="551"/>
      <c r="U2" s="551"/>
      <c r="V2" s="551"/>
      <c r="W2" s="551"/>
      <c r="X2" s="551"/>
      <c r="Y2" s="551"/>
      <c r="Z2" s="551"/>
      <c r="AA2" s="551"/>
      <c r="AB2" s="551"/>
      <c r="AC2" s="551"/>
    </row>
    <row r="3" spans="1:29">
      <c r="A3" s="551"/>
      <c r="B3" s="554" t="s">
        <v>402</v>
      </c>
      <c r="C3" s="551"/>
      <c r="D3" s="551"/>
      <c r="E3" s="551"/>
      <c r="F3" s="551"/>
      <c r="G3" s="551"/>
      <c r="H3" s="551"/>
      <c r="I3" s="551"/>
      <c r="J3" s="551"/>
      <c r="K3" s="551" t="s">
        <v>409</v>
      </c>
      <c r="L3" s="551"/>
      <c r="M3" s="551"/>
      <c r="N3" s="551"/>
      <c r="O3" s="551"/>
      <c r="P3" s="551"/>
      <c r="Q3" s="551"/>
      <c r="R3" s="551"/>
      <c r="S3" s="551"/>
      <c r="T3" s="551"/>
      <c r="U3" s="551"/>
      <c r="V3" s="551"/>
      <c r="W3" s="551"/>
      <c r="X3" s="551"/>
      <c r="Y3" s="551"/>
      <c r="Z3" s="551"/>
      <c r="AA3" s="551"/>
      <c r="AB3" s="551"/>
      <c r="AC3" s="551"/>
    </row>
    <row r="4" spans="1:29">
      <c r="A4" s="551"/>
      <c r="B4" s="551" t="s">
        <v>300</v>
      </c>
      <c r="C4" s="551"/>
      <c r="D4" s="551"/>
      <c r="E4" s="551"/>
      <c r="F4" s="551"/>
      <c r="G4" s="551"/>
      <c r="H4" s="551"/>
      <c r="I4" s="551" t="s">
        <v>49</v>
      </c>
      <c r="J4" s="551"/>
      <c r="K4" s="551" t="s">
        <v>410</v>
      </c>
      <c r="L4" s="551"/>
      <c r="M4" s="551"/>
      <c r="N4" s="551"/>
      <c r="O4" s="551"/>
      <c r="P4" s="551"/>
      <c r="Q4" s="551"/>
      <c r="R4" s="551"/>
      <c r="S4" s="551"/>
      <c r="T4" s="551"/>
      <c r="U4" s="551"/>
      <c r="V4" s="551"/>
      <c r="W4" s="551"/>
      <c r="X4" s="551"/>
      <c r="Y4" s="551"/>
      <c r="Z4" s="551"/>
      <c r="AA4" s="551"/>
      <c r="AB4" s="551"/>
      <c r="AC4" s="551"/>
    </row>
    <row r="5" spans="1:29">
      <c r="A5" s="551"/>
      <c r="B5" s="551" t="s">
        <v>261</v>
      </c>
      <c r="C5" s="551"/>
      <c r="D5" s="551"/>
      <c r="E5" s="551"/>
      <c r="F5" s="551"/>
      <c r="G5" s="551"/>
      <c r="H5" s="551"/>
      <c r="I5" s="551"/>
      <c r="J5" s="551"/>
      <c r="K5" s="551"/>
      <c r="L5" s="551"/>
      <c r="M5" s="551"/>
      <c r="N5" s="551"/>
      <c r="O5" s="551"/>
      <c r="P5" s="551"/>
      <c r="Q5" s="551"/>
      <c r="R5" s="551"/>
      <c r="S5" s="551"/>
      <c r="T5" s="551"/>
      <c r="U5" s="551"/>
      <c r="V5" s="551"/>
      <c r="W5" s="551"/>
      <c r="X5" s="551"/>
      <c r="Y5" s="551"/>
      <c r="Z5" s="551"/>
      <c r="AA5" s="551"/>
      <c r="AB5" s="551"/>
      <c r="AC5" s="551"/>
    </row>
    <row r="6" spans="1:29">
      <c r="A6" s="551"/>
      <c r="B6" s="551" t="s">
        <v>67</v>
      </c>
      <c r="C6" s="551"/>
      <c r="D6" s="551"/>
      <c r="E6" s="551"/>
      <c r="F6" s="551"/>
      <c r="G6" s="551"/>
      <c r="H6" s="551" t="s">
        <v>385</v>
      </c>
      <c r="I6" s="551">
        <v>5000</v>
      </c>
      <c r="J6" s="551" t="s">
        <v>48</v>
      </c>
      <c r="K6" s="551"/>
      <c r="L6" s="551"/>
      <c r="M6" s="551"/>
      <c r="N6" s="551"/>
      <c r="O6" s="551"/>
      <c r="P6" s="551"/>
      <c r="Q6" s="551"/>
      <c r="R6" s="551"/>
      <c r="S6" s="551"/>
      <c r="T6" s="551"/>
      <c r="U6" s="551"/>
      <c r="V6" s="551"/>
      <c r="W6" s="551"/>
      <c r="X6" s="551"/>
      <c r="Y6" s="551"/>
      <c r="Z6" s="551"/>
      <c r="AA6" s="551"/>
      <c r="AB6" s="551"/>
      <c r="AC6" s="551"/>
    </row>
    <row r="7" spans="1:29">
      <c r="A7" s="551"/>
      <c r="B7" s="551"/>
      <c r="C7" s="551"/>
      <c r="D7" s="551"/>
      <c r="E7" s="551"/>
      <c r="F7" s="551"/>
      <c r="G7" s="551"/>
      <c r="H7" s="551"/>
      <c r="I7" s="551">
        <v>5100</v>
      </c>
      <c r="J7" s="551" t="s">
        <v>412</v>
      </c>
      <c r="K7" s="551"/>
      <c r="L7" s="551"/>
      <c r="M7" s="551"/>
      <c r="N7" s="551"/>
      <c r="O7" s="551"/>
      <c r="P7" s="551"/>
      <c r="Q7" s="551"/>
      <c r="R7" s="551"/>
      <c r="S7" s="551"/>
      <c r="T7" s="551"/>
      <c r="U7" s="551"/>
      <c r="V7" s="551"/>
      <c r="W7" s="551"/>
      <c r="X7" s="551"/>
      <c r="Y7" s="551"/>
      <c r="Z7" s="551"/>
      <c r="AA7" s="551"/>
      <c r="AB7" s="551"/>
      <c r="AC7" s="551"/>
    </row>
    <row r="8" spans="1:29">
      <c r="A8" s="551"/>
      <c r="B8" s="551" t="s">
        <v>18</v>
      </c>
      <c r="C8" s="551"/>
      <c r="D8" s="551"/>
      <c r="E8" s="551"/>
      <c r="F8" s="551"/>
      <c r="G8" s="551"/>
      <c r="H8" s="551"/>
      <c r="I8" s="569">
        <v>400</v>
      </c>
      <c r="J8" s="551" t="s">
        <v>101</v>
      </c>
      <c r="K8" s="551"/>
      <c r="L8" s="551"/>
      <c r="M8" s="551"/>
      <c r="N8" s="551"/>
      <c r="O8" s="551"/>
      <c r="P8" s="551"/>
      <c r="Q8" s="551"/>
      <c r="R8" s="551"/>
      <c r="S8" s="551"/>
      <c r="T8" s="551"/>
      <c r="U8" s="551"/>
      <c r="V8" s="551"/>
      <c r="W8" s="551"/>
      <c r="X8" s="551"/>
      <c r="Y8" s="551"/>
      <c r="Z8" s="551"/>
      <c r="AA8" s="551"/>
      <c r="AB8" s="551"/>
      <c r="AC8" s="551"/>
    </row>
    <row r="9" spans="1:29">
      <c r="A9" s="551"/>
      <c r="B9" s="554" t="s">
        <v>110</v>
      </c>
      <c r="C9" s="551" t="s">
        <v>262</v>
      </c>
      <c r="D9" s="554" t="s">
        <v>115</v>
      </c>
      <c r="E9" s="551" t="s">
        <v>282</v>
      </c>
      <c r="F9" s="551"/>
      <c r="G9" s="551"/>
      <c r="H9" s="551"/>
      <c r="I9" s="569">
        <v>600</v>
      </c>
      <c r="J9" s="551" t="s">
        <v>102</v>
      </c>
      <c r="K9" s="551"/>
      <c r="L9" s="551"/>
      <c r="M9" s="551"/>
      <c r="N9" s="551"/>
      <c r="O9" s="551"/>
      <c r="P9" s="551"/>
      <c r="Q9" s="551"/>
      <c r="R9" s="551"/>
      <c r="S9" s="551"/>
      <c r="T9" s="551"/>
      <c r="U9" s="551"/>
      <c r="V9" s="551"/>
      <c r="W9" s="551"/>
      <c r="X9" s="551"/>
      <c r="Y9" s="551"/>
      <c r="Z9" s="551"/>
      <c r="AA9" s="551"/>
      <c r="AB9" s="551"/>
      <c r="AC9" s="551"/>
    </row>
    <row r="10" spans="1:29">
      <c r="A10" s="551"/>
      <c r="B10" s="554" t="s">
        <v>111</v>
      </c>
      <c r="C10" s="603" t="s">
        <v>403</v>
      </c>
      <c r="D10" s="551" t="s">
        <v>280</v>
      </c>
      <c r="E10" s="551" t="s">
        <v>281</v>
      </c>
      <c r="F10" s="551"/>
      <c r="G10" s="551"/>
      <c r="H10" s="551"/>
      <c r="I10" s="551"/>
      <c r="J10" s="551"/>
      <c r="K10" s="551"/>
      <c r="L10" s="551"/>
      <c r="M10" s="551"/>
      <c r="N10" s="551"/>
      <c r="O10" s="551"/>
      <c r="P10" s="551"/>
      <c r="Q10" s="551"/>
      <c r="R10" s="551"/>
      <c r="S10" s="551"/>
      <c r="T10" s="551"/>
      <c r="U10" s="551"/>
      <c r="V10" s="551"/>
      <c r="W10" s="551"/>
      <c r="X10" s="551"/>
      <c r="Y10" s="551"/>
      <c r="Z10" s="551"/>
      <c r="AA10" s="551"/>
      <c r="AB10" s="551"/>
      <c r="AC10" s="551"/>
    </row>
    <row r="11" spans="1:29">
      <c r="A11" s="551"/>
      <c r="B11" s="554" t="s">
        <v>112</v>
      </c>
      <c r="C11" s="603" t="s">
        <v>404</v>
      </c>
      <c r="D11" s="551" t="s">
        <v>146</v>
      </c>
      <c r="E11" s="551"/>
      <c r="F11" s="551" t="s">
        <v>283</v>
      </c>
      <c r="G11" s="551"/>
      <c r="H11" s="551" t="s">
        <v>386</v>
      </c>
      <c r="I11" s="551">
        <v>2700</v>
      </c>
      <c r="J11" s="551" t="s">
        <v>103</v>
      </c>
      <c r="K11" s="551"/>
      <c r="L11" s="551"/>
      <c r="M11" s="551"/>
      <c r="N11" s="551"/>
      <c r="O11" s="551"/>
      <c r="P11" s="551"/>
      <c r="Q11" s="551"/>
      <c r="R11" s="551"/>
      <c r="S11" s="551"/>
      <c r="T11" s="551"/>
      <c r="U11" s="551"/>
      <c r="V11" s="551"/>
      <c r="W11" s="551"/>
      <c r="X11" s="551"/>
      <c r="Y11" s="551"/>
      <c r="Z11" s="551"/>
      <c r="AA11" s="551"/>
      <c r="AB11" s="551"/>
      <c r="AC11" s="551"/>
    </row>
    <row r="12" spans="1:29">
      <c r="A12" s="551"/>
      <c r="B12" s="551"/>
      <c r="C12" s="551"/>
      <c r="D12" s="551"/>
      <c r="E12" s="551"/>
      <c r="F12" s="551"/>
      <c r="G12" s="551"/>
      <c r="H12" s="551"/>
      <c r="I12" s="551">
        <v>2800</v>
      </c>
      <c r="J12" s="551" t="s">
        <v>40</v>
      </c>
      <c r="K12" s="551"/>
      <c r="L12" s="551"/>
      <c r="M12" s="551"/>
      <c r="N12" s="551"/>
      <c r="O12" s="551"/>
      <c r="P12" s="551"/>
      <c r="Q12" s="551"/>
      <c r="R12" s="551"/>
      <c r="S12" s="551"/>
      <c r="T12" s="551"/>
      <c r="U12" s="551"/>
      <c r="V12" s="551"/>
      <c r="W12" s="551"/>
      <c r="X12" s="551"/>
      <c r="Y12" s="551"/>
      <c r="Z12" s="551"/>
      <c r="AA12" s="551"/>
      <c r="AB12" s="551"/>
      <c r="AC12" s="551"/>
    </row>
    <row r="13" spans="1:29">
      <c r="A13" s="551"/>
      <c r="B13" s="551" t="s">
        <v>405</v>
      </c>
      <c r="C13" s="554"/>
      <c r="D13" s="554"/>
      <c r="E13" s="551"/>
      <c r="F13" s="551"/>
      <c r="G13" s="551"/>
      <c r="H13" s="551"/>
      <c r="I13" s="551">
        <v>7790</v>
      </c>
      <c r="J13" s="551" t="s">
        <v>41</v>
      </c>
      <c r="K13" s="551"/>
      <c r="L13" s="551"/>
      <c r="M13" s="551"/>
      <c r="N13" s="551"/>
      <c r="O13" s="551"/>
      <c r="P13" s="551"/>
      <c r="Q13" s="551"/>
      <c r="R13" s="551"/>
      <c r="S13" s="551"/>
      <c r="T13" s="551"/>
      <c r="U13" s="551"/>
      <c r="V13" s="551"/>
      <c r="W13" s="551"/>
      <c r="X13" s="551"/>
      <c r="Y13" s="551"/>
      <c r="Z13" s="551"/>
      <c r="AA13" s="551"/>
      <c r="AB13" s="551"/>
      <c r="AC13" s="551"/>
    </row>
    <row r="14" spans="1:29">
      <c r="A14" s="551"/>
      <c r="B14" s="551"/>
      <c r="C14" s="554"/>
      <c r="D14" s="554"/>
      <c r="E14" s="551"/>
      <c r="F14" s="551"/>
      <c r="G14" s="551"/>
      <c r="H14" s="551"/>
      <c r="I14" s="551"/>
      <c r="J14" s="551"/>
      <c r="K14" s="551"/>
      <c r="L14" s="551"/>
      <c r="M14" s="551"/>
      <c r="N14" s="551"/>
      <c r="O14" s="551"/>
      <c r="P14" s="551"/>
      <c r="Q14" s="551"/>
      <c r="R14" s="551"/>
      <c r="S14" s="551"/>
      <c r="T14" s="551"/>
      <c r="U14" s="551"/>
      <c r="V14" s="551"/>
      <c r="W14" s="551"/>
      <c r="X14" s="551"/>
      <c r="Y14" s="551"/>
      <c r="Z14" s="551"/>
      <c r="AA14" s="551"/>
      <c r="AB14" s="551"/>
      <c r="AC14" s="551"/>
    </row>
    <row r="15" spans="1:29">
      <c r="A15" s="551"/>
      <c r="B15" s="554"/>
      <c r="C15" s="554"/>
      <c r="D15" s="554"/>
      <c r="E15" s="551"/>
      <c r="F15" s="551"/>
      <c r="G15" s="551"/>
      <c r="H15" s="551" t="s">
        <v>387</v>
      </c>
      <c r="I15" s="551">
        <v>2510</v>
      </c>
      <c r="J15" s="551" t="s">
        <v>54</v>
      </c>
      <c r="K15" s="551"/>
      <c r="L15" s="551"/>
      <c r="M15" s="551"/>
      <c r="N15" s="551"/>
      <c r="O15" s="551"/>
      <c r="P15" s="551"/>
      <c r="Q15" s="551"/>
      <c r="R15" s="551"/>
      <c r="S15" s="551"/>
      <c r="T15" s="551"/>
      <c r="U15" s="551"/>
      <c r="V15" s="551"/>
      <c r="W15" s="551"/>
      <c r="X15" s="551"/>
      <c r="Y15" s="551"/>
      <c r="Z15" s="551"/>
      <c r="AA15" s="551"/>
      <c r="AB15" s="551"/>
      <c r="AC15" s="551"/>
    </row>
    <row r="16" spans="1:29">
      <c r="A16" s="551"/>
      <c r="B16" s="554" t="s">
        <v>137</v>
      </c>
      <c r="C16" s="554"/>
      <c r="D16" s="554"/>
      <c r="E16" s="554"/>
      <c r="F16" s="551"/>
      <c r="G16" s="551"/>
      <c r="H16" s="551"/>
      <c r="I16" s="551">
        <v>3510</v>
      </c>
      <c r="J16" s="551" t="s">
        <v>55</v>
      </c>
      <c r="K16" s="551"/>
      <c r="L16" s="551"/>
      <c r="M16" s="551"/>
      <c r="N16" s="551"/>
      <c r="O16" s="551"/>
      <c r="P16" s="551"/>
      <c r="Q16" s="551"/>
      <c r="R16" s="551"/>
      <c r="S16" s="551"/>
      <c r="T16" s="551"/>
      <c r="U16" s="551"/>
      <c r="V16" s="551"/>
      <c r="W16" s="551"/>
      <c r="X16" s="551"/>
      <c r="Y16" s="551"/>
      <c r="Z16" s="551"/>
      <c r="AA16" s="551"/>
      <c r="AB16" s="551"/>
      <c r="AC16" s="551"/>
    </row>
    <row r="17" spans="1:29">
      <c r="A17" s="551"/>
      <c r="B17" s="570" t="s">
        <v>263</v>
      </c>
      <c r="C17" s="571">
        <v>1120</v>
      </c>
      <c r="D17" s="551" t="s">
        <v>252</v>
      </c>
      <c r="E17" s="551" t="s">
        <v>264</v>
      </c>
      <c r="F17" s="551"/>
      <c r="G17" s="551"/>
      <c r="H17" s="551"/>
      <c r="I17" s="551">
        <v>2500</v>
      </c>
      <c r="J17" s="551" t="s">
        <v>99</v>
      </c>
      <c r="K17" s="551"/>
      <c r="L17" s="551"/>
      <c r="M17" s="551"/>
      <c r="N17" s="551"/>
      <c r="O17" s="551"/>
      <c r="P17" s="551"/>
      <c r="Q17" s="551"/>
      <c r="R17" s="551"/>
      <c r="S17" s="551"/>
      <c r="T17" s="551"/>
      <c r="U17" s="551"/>
      <c r="V17" s="551"/>
      <c r="W17" s="551"/>
      <c r="X17" s="551"/>
      <c r="Y17" s="551"/>
      <c r="Z17" s="551"/>
      <c r="AA17" s="551"/>
      <c r="AB17" s="551"/>
      <c r="AC17" s="551"/>
    </row>
    <row r="18" spans="1:29">
      <c r="A18" s="551"/>
      <c r="B18" s="570" t="s">
        <v>148</v>
      </c>
      <c r="C18" s="571" t="s">
        <v>265</v>
      </c>
      <c r="D18" s="551"/>
      <c r="E18" s="551"/>
      <c r="F18" s="551"/>
      <c r="G18" s="551"/>
      <c r="H18" s="551"/>
      <c r="I18" s="551"/>
      <c r="J18" s="551"/>
      <c r="K18" s="551"/>
      <c r="L18" s="551"/>
      <c r="M18" s="551"/>
      <c r="N18" s="551"/>
      <c r="O18" s="551"/>
      <c r="P18" s="551"/>
      <c r="Q18" s="551"/>
      <c r="R18" s="551"/>
      <c r="S18" s="551"/>
      <c r="T18" s="551"/>
      <c r="U18" s="551"/>
      <c r="V18" s="551"/>
      <c r="W18" s="551"/>
      <c r="X18" s="551"/>
      <c r="Y18" s="551"/>
      <c r="Z18" s="551"/>
      <c r="AA18" s="551"/>
      <c r="AB18" s="551"/>
      <c r="AC18" s="551"/>
    </row>
    <row r="19" spans="1:29">
      <c r="A19" s="551"/>
      <c r="B19" s="551" t="s">
        <v>20</v>
      </c>
      <c r="C19" s="565" t="s">
        <v>408</v>
      </c>
      <c r="D19" s="565"/>
      <c r="E19" s="565"/>
      <c r="F19" s="551"/>
      <c r="G19" s="551"/>
      <c r="H19" s="551" t="s">
        <v>388</v>
      </c>
      <c r="I19" s="551">
        <v>4000</v>
      </c>
      <c r="J19" s="551" t="s">
        <v>389</v>
      </c>
      <c r="K19" s="551"/>
      <c r="L19" s="551"/>
      <c r="M19" s="551"/>
      <c r="N19" s="551"/>
      <c r="O19" s="551"/>
      <c r="P19" s="551"/>
      <c r="Q19" s="551"/>
      <c r="R19" s="551"/>
      <c r="S19" s="551"/>
      <c r="T19" s="551"/>
      <c r="U19" s="551"/>
      <c r="V19" s="551"/>
      <c r="W19" s="551"/>
      <c r="X19" s="551"/>
      <c r="Y19" s="551"/>
      <c r="Z19" s="551"/>
      <c r="AA19" s="551"/>
      <c r="AB19" s="551"/>
      <c r="AC19" s="551"/>
    </row>
    <row r="20" spans="1:29">
      <c r="A20" s="551"/>
      <c r="B20" s="551" t="s">
        <v>21</v>
      </c>
      <c r="C20" s="565" t="s">
        <v>266</v>
      </c>
      <c r="D20" s="565"/>
      <c r="E20" s="565"/>
      <c r="F20" s="551"/>
      <c r="G20" s="551"/>
      <c r="H20" s="551"/>
      <c r="I20" s="551">
        <v>4010</v>
      </c>
      <c r="J20" s="551" t="s">
        <v>390</v>
      </c>
      <c r="K20" s="551"/>
      <c r="L20" s="551"/>
      <c r="M20" s="551"/>
      <c r="N20" s="551"/>
      <c r="O20" s="551"/>
      <c r="P20" s="551"/>
      <c r="Q20" s="551"/>
      <c r="R20" s="551"/>
      <c r="S20" s="551"/>
      <c r="T20" s="551"/>
      <c r="U20" s="551"/>
      <c r="V20" s="551"/>
      <c r="W20" s="551"/>
      <c r="X20" s="551"/>
      <c r="Y20" s="551"/>
      <c r="Z20" s="551"/>
      <c r="AA20" s="551"/>
      <c r="AB20" s="551"/>
      <c r="AC20" s="551"/>
    </row>
    <row r="21" spans="1:29">
      <c r="A21" s="551"/>
      <c r="B21" s="551"/>
      <c r="C21" s="565"/>
      <c r="D21" s="565"/>
      <c r="E21" s="565"/>
      <c r="F21" s="551"/>
      <c r="G21" s="551"/>
      <c r="H21" s="551"/>
      <c r="I21" s="551">
        <v>4015</v>
      </c>
      <c r="J21" s="551" t="s">
        <v>239</v>
      </c>
      <c r="K21" s="551"/>
      <c r="L21" s="551"/>
      <c r="M21" s="551"/>
      <c r="N21" s="551"/>
      <c r="O21" s="551"/>
      <c r="P21" s="551"/>
      <c r="Q21" s="551"/>
      <c r="R21" s="551"/>
      <c r="S21" s="551"/>
      <c r="T21" s="551"/>
      <c r="U21" s="551"/>
      <c r="V21" s="551"/>
      <c r="W21" s="551"/>
      <c r="X21" s="551"/>
      <c r="Y21" s="551"/>
      <c r="Z21" s="551"/>
      <c r="AA21" s="551"/>
      <c r="AB21" s="551"/>
      <c r="AC21" s="551"/>
    </row>
    <row r="22" spans="1:29">
      <c r="A22" s="551"/>
      <c r="B22" s="551"/>
      <c r="C22" s="565"/>
      <c r="D22" s="565"/>
      <c r="E22" s="565"/>
      <c r="F22" s="551"/>
      <c r="G22" s="551"/>
      <c r="H22" s="551"/>
      <c r="I22" s="551">
        <v>4100</v>
      </c>
      <c r="J22" s="551" t="s">
        <v>391</v>
      </c>
      <c r="K22" s="551"/>
      <c r="L22" s="551"/>
      <c r="M22" s="551"/>
      <c r="N22" s="551"/>
      <c r="O22" s="551"/>
      <c r="P22" s="551"/>
      <c r="Q22" s="551"/>
      <c r="R22" s="551"/>
      <c r="S22" s="551"/>
      <c r="T22" s="551"/>
      <c r="U22" s="551"/>
      <c r="V22" s="551"/>
      <c r="W22" s="551"/>
      <c r="X22" s="551"/>
      <c r="Y22" s="551"/>
      <c r="Z22" s="551"/>
      <c r="AA22" s="551"/>
      <c r="AB22" s="551"/>
      <c r="AC22" s="551"/>
    </row>
    <row r="23" spans="1:29">
      <c r="A23" s="551"/>
      <c r="B23" s="551"/>
      <c r="C23" s="565"/>
      <c r="D23" s="565"/>
      <c r="E23" s="565"/>
      <c r="F23" s="551"/>
      <c r="G23" s="551"/>
      <c r="H23" s="551"/>
      <c r="I23" s="551"/>
      <c r="J23" s="551"/>
      <c r="K23" s="551"/>
      <c r="L23" s="551"/>
      <c r="M23" s="551"/>
      <c r="N23" s="551"/>
      <c r="O23" s="551"/>
      <c r="P23" s="551"/>
      <c r="Q23" s="551"/>
      <c r="R23" s="551"/>
      <c r="S23" s="551"/>
      <c r="T23" s="551"/>
      <c r="U23" s="551"/>
      <c r="V23" s="551"/>
      <c r="W23" s="551"/>
      <c r="X23" s="551"/>
      <c r="Y23" s="551"/>
      <c r="Z23" s="551"/>
      <c r="AA23" s="551"/>
      <c r="AB23" s="551"/>
      <c r="AC23" s="551"/>
    </row>
    <row r="24" spans="1:29">
      <c r="A24" s="551"/>
      <c r="B24" s="551"/>
      <c r="C24" s="565"/>
      <c r="D24" s="565"/>
      <c r="E24" s="565"/>
      <c r="F24" s="551"/>
      <c r="G24" s="551"/>
      <c r="H24" s="551" t="s">
        <v>392</v>
      </c>
      <c r="I24" s="551">
        <v>4410</v>
      </c>
      <c r="J24" s="551" t="s">
        <v>393</v>
      </c>
      <c r="K24" s="551"/>
      <c r="L24" s="551"/>
      <c r="M24" s="551"/>
      <c r="N24" s="551"/>
      <c r="O24" s="551"/>
      <c r="P24" s="551"/>
      <c r="Q24" s="551"/>
      <c r="R24" s="551"/>
      <c r="S24" s="551"/>
      <c r="T24" s="551"/>
      <c r="U24" s="551"/>
      <c r="V24" s="551"/>
      <c r="W24" s="551"/>
      <c r="X24" s="551"/>
      <c r="Y24" s="551"/>
      <c r="Z24" s="551"/>
      <c r="AA24" s="551"/>
      <c r="AB24" s="551"/>
      <c r="AC24" s="551"/>
    </row>
    <row r="25" spans="1:29">
      <c r="A25" s="551"/>
      <c r="B25" s="551"/>
      <c r="C25" s="565"/>
      <c r="D25" s="565"/>
      <c r="E25" s="565"/>
      <c r="F25" s="551"/>
      <c r="G25" s="551"/>
      <c r="H25" s="551"/>
      <c r="I25" s="551">
        <v>4415</v>
      </c>
      <c r="J25" s="551" t="s">
        <v>394</v>
      </c>
      <c r="K25" s="551"/>
      <c r="L25" s="551"/>
      <c r="M25" s="551"/>
      <c r="N25" s="551"/>
      <c r="O25" s="551"/>
      <c r="P25" s="551"/>
      <c r="Q25" s="551"/>
      <c r="R25" s="551"/>
      <c r="S25" s="551"/>
      <c r="T25" s="551"/>
      <c r="U25" s="551"/>
      <c r="V25" s="551"/>
      <c r="W25" s="551"/>
      <c r="X25" s="551"/>
      <c r="Y25" s="551"/>
      <c r="Z25" s="551"/>
      <c r="AA25" s="551"/>
      <c r="AB25" s="551"/>
      <c r="AC25" s="551"/>
    </row>
    <row r="26" spans="1:29">
      <c r="A26" s="551"/>
      <c r="B26" s="551"/>
      <c r="C26" s="565"/>
      <c r="D26" s="565"/>
      <c r="E26" s="565"/>
      <c r="F26" s="551"/>
      <c r="G26" s="551"/>
      <c r="H26" s="551"/>
      <c r="I26" s="551">
        <v>4416</v>
      </c>
      <c r="J26" s="551" t="s">
        <v>395</v>
      </c>
      <c r="K26" s="551"/>
      <c r="L26" s="551"/>
      <c r="M26" s="551"/>
      <c r="N26" s="551"/>
      <c r="O26" s="551"/>
      <c r="P26" s="551"/>
      <c r="Q26" s="551"/>
      <c r="R26" s="551"/>
      <c r="S26" s="551"/>
      <c r="T26" s="551"/>
      <c r="U26" s="551"/>
      <c r="V26" s="551"/>
      <c r="W26" s="551"/>
      <c r="X26" s="551"/>
      <c r="Y26" s="551"/>
      <c r="Z26" s="551"/>
      <c r="AA26" s="551"/>
      <c r="AB26" s="551"/>
      <c r="AC26" s="551"/>
    </row>
    <row r="27" spans="1:29">
      <c r="A27" s="551"/>
      <c r="B27" s="551"/>
      <c r="C27" s="565"/>
      <c r="D27" s="565"/>
      <c r="E27" s="565"/>
      <c r="F27" s="551"/>
      <c r="G27" s="551"/>
      <c r="H27" s="551"/>
      <c r="I27" s="551"/>
      <c r="J27" s="551"/>
      <c r="K27" s="551"/>
      <c r="L27" s="551"/>
      <c r="M27" s="551"/>
      <c r="N27" s="551"/>
      <c r="O27" s="551"/>
      <c r="P27" s="551"/>
      <c r="Q27" s="551"/>
      <c r="R27" s="551"/>
      <c r="S27" s="551"/>
      <c r="T27" s="551"/>
      <c r="U27" s="551"/>
      <c r="V27" s="551"/>
      <c r="W27" s="551"/>
      <c r="X27" s="551"/>
      <c r="Y27" s="551"/>
      <c r="Z27" s="551"/>
      <c r="AA27" s="551"/>
      <c r="AB27" s="551"/>
      <c r="AC27" s="551"/>
    </row>
    <row r="28" spans="1:29">
      <c r="A28" s="551"/>
      <c r="B28" s="551"/>
      <c r="C28" s="565"/>
      <c r="D28" s="565"/>
      <c r="E28" s="565"/>
      <c r="F28" s="551"/>
      <c r="G28" s="551"/>
      <c r="H28" s="551"/>
      <c r="I28" s="551">
        <v>5880</v>
      </c>
      <c r="J28" s="551" t="s">
        <v>396</v>
      </c>
      <c r="K28" s="551"/>
      <c r="L28" s="551"/>
      <c r="M28" s="551"/>
      <c r="N28" s="551"/>
      <c r="O28" s="551"/>
      <c r="P28" s="551"/>
      <c r="Q28" s="551"/>
      <c r="R28" s="551"/>
      <c r="S28" s="551"/>
      <c r="T28" s="551"/>
      <c r="U28" s="551"/>
      <c r="V28" s="551"/>
      <c r="W28" s="551"/>
      <c r="X28" s="551"/>
      <c r="Y28" s="551"/>
      <c r="Z28" s="551"/>
      <c r="AA28" s="551"/>
      <c r="AB28" s="551"/>
      <c r="AC28" s="551"/>
    </row>
    <row r="29" spans="1:29">
      <c r="A29" s="551"/>
      <c r="B29" s="551"/>
      <c r="C29" s="565"/>
      <c r="D29" s="565"/>
      <c r="E29" s="565"/>
      <c r="F29" s="551"/>
      <c r="G29" s="551"/>
      <c r="H29" s="551"/>
      <c r="I29" s="551">
        <v>5885</v>
      </c>
      <c r="J29" s="551" t="s">
        <v>58</v>
      </c>
      <c r="K29" s="551"/>
      <c r="L29" s="551"/>
      <c r="M29" s="551"/>
      <c r="N29" s="551"/>
      <c r="O29" s="551"/>
      <c r="P29" s="551"/>
      <c r="Q29" s="551"/>
      <c r="R29" s="551"/>
      <c r="S29" s="551"/>
      <c r="T29" s="551"/>
      <c r="U29" s="551"/>
      <c r="V29" s="551"/>
      <c r="W29" s="551"/>
      <c r="X29" s="551"/>
      <c r="Y29" s="551"/>
      <c r="Z29" s="551"/>
      <c r="AA29" s="551"/>
      <c r="AB29" s="551"/>
      <c r="AC29" s="551"/>
    </row>
    <row r="30" spans="1:29">
      <c r="A30" s="551"/>
      <c r="B30" s="551"/>
      <c r="C30" s="551"/>
      <c r="D30" s="551"/>
      <c r="E30" s="551"/>
      <c r="F30" s="551"/>
      <c r="G30" s="551"/>
      <c r="H30" s="551"/>
      <c r="I30" s="551">
        <v>5886</v>
      </c>
      <c r="J30" s="551" t="s">
        <v>397</v>
      </c>
      <c r="K30" s="551"/>
      <c r="L30" s="551"/>
      <c r="M30" s="551"/>
      <c r="N30" s="551"/>
      <c r="O30" s="551"/>
      <c r="P30" s="551"/>
      <c r="Q30" s="551"/>
      <c r="R30" s="551"/>
      <c r="S30" s="551"/>
      <c r="T30" s="551"/>
      <c r="U30" s="551"/>
      <c r="V30" s="551"/>
      <c r="W30" s="551"/>
      <c r="X30" s="551"/>
      <c r="Y30" s="551"/>
      <c r="Z30" s="551"/>
      <c r="AA30" s="551"/>
      <c r="AB30" s="551"/>
      <c r="AC30" s="551"/>
    </row>
    <row r="31" spans="1:29">
      <c r="A31" s="551"/>
      <c r="B31" s="551"/>
      <c r="C31" s="551"/>
      <c r="D31" s="551"/>
      <c r="E31" s="551"/>
      <c r="F31" s="551"/>
      <c r="G31" s="551"/>
      <c r="H31" s="551"/>
      <c r="I31" s="551"/>
      <c r="J31" s="551"/>
      <c r="K31" s="551"/>
      <c r="L31" s="551"/>
      <c r="M31" s="551"/>
      <c r="N31" s="551"/>
      <c r="O31" s="551"/>
      <c r="P31" s="551"/>
      <c r="Q31" s="551"/>
      <c r="R31" s="551"/>
      <c r="S31" s="551"/>
      <c r="T31" s="551"/>
      <c r="U31" s="551"/>
      <c r="V31" s="551"/>
      <c r="W31" s="551"/>
      <c r="X31" s="551"/>
      <c r="Y31" s="551"/>
      <c r="Z31" s="551"/>
      <c r="AA31" s="551"/>
      <c r="AB31" s="551"/>
      <c r="AC31" s="551"/>
    </row>
    <row r="32" spans="1:29">
      <c r="A32" s="551"/>
      <c r="B32" s="551" t="s">
        <v>19</v>
      </c>
      <c r="C32" s="551"/>
      <c r="D32" s="551" t="s">
        <v>113</v>
      </c>
      <c r="E32" s="551" t="s">
        <v>114</v>
      </c>
      <c r="F32" s="551"/>
      <c r="G32" s="551"/>
      <c r="H32" s="551" t="s">
        <v>398</v>
      </c>
      <c r="I32" s="551">
        <v>7815</v>
      </c>
      <c r="J32" s="551" t="s">
        <v>63</v>
      </c>
      <c r="K32" s="551"/>
      <c r="L32" s="551"/>
      <c r="M32" s="551"/>
      <c r="N32" s="551"/>
      <c r="O32" s="551"/>
      <c r="P32" s="551"/>
      <c r="Q32" s="551"/>
      <c r="R32" s="551"/>
      <c r="S32" s="551"/>
      <c r="T32" s="551"/>
      <c r="U32" s="551"/>
      <c r="V32" s="551"/>
      <c r="W32" s="551"/>
      <c r="X32" s="551"/>
      <c r="Y32" s="551"/>
      <c r="Z32" s="551"/>
      <c r="AA32" s="551"/>
      <c r="AB32" s="551"/>
      <c r="AC32" s="551"/>
    </row>
    <row r="33" spans="1:29">
      <c r="A33" s="551"/>
      <c r="B33" s="551" t="s">
        <v>313</v>
      </c>
      <c r="C33" s="551"/>
      <c r="D33" s="572">
        <v>0.75</v>
      </c>
      <c r="E33" s="573">
        <v>150000</v>
      </c>
      <c r="F33" s="551"/>
      <c r="G33" s="551"/>
      <c r="H33" s="551"/>
      <c r="I33" s="551">
        <v>4840</v>
      </c>
      <c r="J33" s="551" t="s">
        <v>64</v>
      </c>
      <c r="K33" s="551"/>
      <c r="L33" s="551"/>
      <c r="M33" s="551"/>
      <c r="N33" s="551"/>
      <c r="O33" s="551"/>
      <c r="P33" s="551"/>
      <c r="Q33" s="551"/>
      <c r="R33" s="551"/>
      <c r="S33" s="551"/>
      <c r="T33" s="551"/>
      <c r="U33" s="551"/>
      <c r="V33" s="551"/>
      <c r="W33" s="551"/>
      <c r="X33" s="551"/>
      <c r="Y33" s="551"/>
      <c r="Z33" s="551"/>
      <c r="AA33" s="551"/>
      <c r="AB33" s="551"/>
      <c r="AC33" s="551"/>
    </row>
    <row r="34" spans="1:29">
      <c r="A34" s="551"/>
      <c r="B34" s="551" t="s">
        <v>311</v>
      </c>
      <c r="C34" s="551"/>
      <c r="D34" s="572">
        <v>0.25</v>
      </c>
      <c r="E34" s="573">
        <v>50000</v>
      </c>
      <c r="F34" s="551"/>
      <c r="G34" s="551"/>
      <c r="H34" s="551"/>
      <c r="I34" s="551"/>
      <c r="J34" s="551"/>
      <c r="K34" s="551"/>
      <c r="L34" s="551"/>
      <c r="M34" s="551"/>
      <c r="N34" s="551"/>
      <c r="O34" s="551"/>
      <c r="P34" s="551"/>
      <c r="Q34" s="551"/>
      <c r="R34" s="551"/>
      <c r="S34" s="551"/>
      <c r="T34" s="551"/>
      <c r="U34" s="551"/>
      <c r="V34" s="551"/>
      <c r="W34" s="551"/>
      <c r="X34" s="551"/>
      <c r="Y34" s="551"/>
      <c r="Z34" s="551"/>
      <c r="AA34" s="551"/>
      <c r="AB34" s="551"/>
      <c r="AC34" s="551"/>
    </row>
    <row r="35" spans="1:29" ht="13.8" thickBot="1">
      <c r="A35" s="551"/>
      <c r="B35" s="551"/>
      <c r="C35" s="551"/>
      <c r="D35" s="551"/>
      <c r="E35" s="551"/>
      <c r="F35" s="551"/>
      <c r="G35" s="551"/>
      <c r="H35" s="551" t="s">
        <v>399</v>
      </c>
      <c r="I35" s="551">
        <v>7300</v>
      </c>
      <c r="J35" s="551" t="s">
        <v>400</v>
      </c>
      <c r="K35" s="551"/>
      <c r="L35" s="551"/>
      <c r="M35" s="551"/>
      <c r="N35" s="551"/>
      <c r="O35" s="551"/>
      <c r="P35" s="551"/>
      <c r="Q35" s="551"/>
      <c r="R35" s="551"/>
      <c r="S35" s="551"/>
      <c r="T35" s="551"/>
      <c r="U35" s="551"/>
      <c r="V35" s="551"/>
      <c r="W35" s="551"/>
      <c r="X35" s="551"/>
      <c r="Y35" s="551"/>
      <c r="Z35" s="551"/>
      <c r="AA35" s="551"/>
      <c r="AB35" s="551"/>
      <c r="AC35" s="551"/>
    </row>
    <row r="36" spans="1:29" ht="13.8" thickBot="1">
      <c r="A36" s="551"/>
      <c r="B36" s="720" t="s">
        <v>166</v>
      </c>
      <c r="C36" s="721"/>
      <c r="D36" s="720" t="s">
        <v>24</v>
      </c>
      <c r="E36" s="721"/>
      <c r="F36" s="551"/>
      <c r="G36" s="551"/>
      <c r="H36" s="551"/>
      <c r="I36" s="575">
        <v>7301</v>
      </c>
      <c r="J36" s="551" t="s">
        <v>401</v>
      </c>
      <c r="K36" s="575"/>
      <c r="L36" s="575"/>
      <c r="M36" s="718"/>
      <c r="N36" s="718"/>
      <c r="O36" s="551"/>
      <c r="P36" s="551"/>
      <c r="Q36" s="551"/>
      <c r="R36" s="551"/>
      <c r="S36" s="551"/>
      <c r="T36" s="551"/>
      <c r="U36" s="551"/>
      <c r="V36" s="551"/>
      <c r="W36" s="551"/>
      <c r="X36" s="551"/>
      <c r="Y36" s="551"/>
      <c r="Z36" s="551"/>
      <c r="AA36" s="551"/>
      <c r="AB36" s="551"/>
      <c r="AC36" s="551"/>
    </row>
    <row r="37" spans="1:29">
      <c r="A37" s="551"/>
      <c r="B37" s="574">
        <v>20022</v>
      </c>
      <c r="C37" s="576" t="s">
        <v>267</v>
      </c>
      <c r="D37" s="575">
        <v>33025</v>
      </c>
      <c r="E37" s="577" t="s">
        <v>184</v>
      </c>
      <c r="F37" s="551"/>
      <c r="G37" s="551"/>
      <c r="H37" s="551"/>
      <c r="I37" s="575"/>
      <c r="J37" s="575"/>
      <c r="K37" s="575"/>
      <c r="L37" s="575"/>
      <c r="M37" s="575"/>
      <c r="N37" s="575"/>
      <c r="O37" s="551"/>
      <c r="P37" s="551"/>
      <c r="Q37" s="551"/>
      <c r="R37" s="551"/>
      <c r="S37" s="551"/>
      <c r="T37" s="551"/>
      <c r="U37" s="551"/>
      <c r="V37" s="551"/>
      <c r="W37" s="551"/>
      <c r="X37" s="551"/>
      <c r="Y37" s="551"/>
      <c r="Z37" s="551"/>
      <c r="AA37" s="551"/>
      <c r="AB37" s="551"/>
      <c r="AC37" s="551"/>
    </row>
    <row r="38" spans="1:29">
      <c r="A38" s="551"/>
      <c r="B38" s="574">
        <v>20046</v>
      </c>
      <c r="C38" s="576" t="s">
        <v>268</v>
      </c>
      <c r="D38" s="575">
        <v>33087</v>
      </c>
      <c r="E38" s="576" t="s">
        <v>279</v>
      </c>
      <c r="F38" s="551"/>
      <c r="G38" s="551"/>
      <c r="H38" s="551"/>
      <c r="I38" s="575"/>
      <c r="J38" s="575"/>
      <c r="K38" s="551"/>
      <c r="L38" s="551"/>
      <c r="M38" s="575"/>
      <c r="N38" s="575"/>
      <c r="O38" s="551"/>
      <c r="P38" s="551"/>
      <c r="Q38" s="551"/>
      <c r="R38" s="551"/>
      <c r="S38" s="551"/>
      <c r="T38" s="551"/>
      <c r="U38" s="551"/>
      <c r="V38" s="551"/>
      <c r="W38" s="551"/>
      <c r="X38" s="551"/>
      <c r="Y38" s="551"/>
      <c r="Z38" s="551"/>
      <c r="AA38" s="551"/>
      <c r="AB38" s="551"/>
      <c r="AC38" s="551"/>
    </row>
    <row r="39" spans="1:29">
      <c r="A39" s="551"/>
      <c r="B39" s="574">
        <v>21591</v>
      </c>
      <c r="C39" s="576" t="s">
        <v>353</v>
      </c>
      <c r="D39" s="575">
        <v>33790</v>
      </c>
      <c r="E39" s="576" t="s">
        <v>352</v>
      </c>
      <c r="F39" s="551"/>
      <c r="G39" s="551"/>
      <c r="H39" s="551"/>
      <c r="I39" s="575"/>
      <c r="J39" s="575"/>
      <c r="K39" s="551"/>
      <c r="L39" s="551"/>
      <c r="M39" s="575"/>
      <c r="N39" s="575"/>
      <c r="O39" s="551"/>
      <c r="P39" s="551"/>
      <c r="Q39" s="551"/>
      <c r="R39" s="551"/>
      <c r="S39" s="551"/>
      <c r="T39" s="551"/>
      <c r="U39" s="551"/>
      <c r="V39" s="551"/>
      <c r="W39" s="551"/>
      <c r="X39" s="551"/>
      <c r="Y39" s="551"/>
      <c r="Z39" s="551"/>
      <c r="AA39" s="551"/>
      <c r="AB39" s="551"/>
      <c r="AC39" s="551"/>
    </row>
    <row r="40" spans="1:29" ht="13.8" thickBot="1">
      <c r="A40" s="551"/>
      <c r="B40" s="602"/>
      <c r="C40" s="578"/>
      <c r="D40" s="579"/>
      <c r="E40" s="601"/>
      <c r="F40" s="551"/>
      <c r="G40" s="551"/>
      <c r="H40" s="551"/>
      <c r="I40" s="575"/>
      <c r="J40" s="575"/>
      <c r="K40" s="575"/>
      <c r="L40" s="575"/>
      <c r="M40" s="575"/>
      <c r="N40" s="619"/>
      <c r="O40" s="551"/>
      <c r="P40" s="551"/>
      <c r="Q40" s="551"/>
      <c r="R40" s="551"/>
      <c r="S40" s="551"/>
      <c r="T40" s="551"/>
      <c r="U40" s="551"/>
      <c r="V40" s="551"/>
      <c r="W40" s="551"/>
      <c r="X40" s="551"/>
      <c r="Y40" s="551"/>
      <c r="Z40" s="551"/>
      <c r="AA40" s="551"/>
      <c r="AB40" s="551"/>
      <c r="AC40" s="551"/>
    </row>
    <row r="41" spans="1:29">
      <c r="A41" s="551"/>
      <c r="B41" s="551"/>
      <c r="C41" s="551"/>
      <c r="D41" s="551"/>
      <c r="E41" s="551"/>
      <c r="F41" s="551"/>
      <c r="G41" s="551"/>
      <c r="H41" s="551"/>
      <c r="I41" s="551"/>
      <c r="J41" s="551"/>
      <c r="K41" s="551"/>
      <c r="L41" s="551"/>
      <c r="M41" s="551"/>
      <c r="N41" s="551"/>
      <c r="O41" s="551"/>
      <c r="P41" s="551"/>
      <c r="Q41" s="551"/>
      <c r="R41" s="551"/>
      <c r="S41" s="551"/>
      <c r="T41" s="551"/>
      <c r="U41" s="551"/>
      <c r="V41" s="551"/>
      <c r="W41" s="551"/>
      <c r="X41" s="551"/>
      <c r="Y41" s="551"/>
      <c r="Z41" s="551"/>
      <c r="AA41" s="551"/>
      <c r="AB41" s="551"/>
      <c r="AC41" s="551"/>
    </row>
    <row r="42" spans="1:29">
      <c r="A42" s="551"/>
      <c r="B42" s="551"/>
      <c r="C42" s="551"/>
      <c r="D42" s="551"/>
      <c r="E42" s="551"/>
      <c r="F42" s="551"/>
      <c r="G42" s="551"/>
      <c r="H42" s="551"/>
      <c r="I42" s="551"/>
      <c r="J42" s="551"/>
      <c r="K42" s="551"/>
      <c r="L42" s="551"/>
      <c r="M42" s="551"/>
      <c r="N42" s="551"/>
      <c r="O42" s="551"/>
      <c r="P42" s="551"/>
      <c r="Q42" s="551"/>
      <c r="R42" s="551"/>
      <c r="S42" s="551"/>
      <c r="T42" s="551"/>
      <c r="U42" s="551"/>
      <c r="V42" s="551"/>
      <c r="W42" s="551"/>
      <c r="X42" s="551"/>
      <c r="Y42" s="551"/>
      <c r="Z42" s="551"/>
      <c r="AA42" s="551"/>
      <c r="AB42" s="551"/>
      <c r="AC42" s="551"/>
    </row>
    <row r="43" spans="1:29">
      <c r="A43" s="551"/>
      <c r="B43" s="563" t="s">
        <v>345</v>
      </c>
      <c r="C43" s="551"/>
      <c r="D43" s="551"/>
      <c r="E43" s="551"/>
      <c r="F43" s="551"/>
      <c r="G43" s="551"/>
      <c r="H43" s="551"/>
      <c r="I43" s="551"/>
      <c r="J43" s="551"/>
      <c r="K43" s="551"/>
      <c r="L43" s="551"/>
      <c r="M43" s="551"/>
      <c r="N43" s="551"/>
      <c r="O43" s="551"/>
      <c r="P43" s="551"/>
      <c r="Q43" s="551"/>
      <c r="R43" s="551"/>
      <c r="S43" s="551"/>
      <c r="T43" s="551"/>
      <c r="U43" s="551"/>
      <c r="V43" s="551"/>
      <c r="W43" s="551"/>
      <c r="X43" s="551"/>
      <c r="Y43" s="551"/>
      <c r="Z43" s="551"/>
      <c r="AA43" s="551"/>
      <c r="AB43" s="551"/>
      <c r="AC43" s="551"/>
    </row>
    <row r="44" spans="1:29">
      <c r="A44" s="551"/>
      <c r="B44" s="551" t="s">
        <v>344</v>
      </c>
      <c r="C44" s="551"/>
      <c r="D44" s="551"/>
      <c r="E44" s="551"/>
      <c r="F44" s="551"/>
      <c r="G44" s="551"/>
      <c r="H44" s="551"/>
      <c r="I44" s="551"/>
      <c r="J44" s="551"/>
      <c r="K44" s="551"/>
      <c r="L44" s="551"/>
      <c r="M44" s="551"/>
      <c r="N44" s="551"/>
      <c r="O44" s="551"/>
      <c r="P44" s="551"/>
      <c r="Q44" s="551"/>
      <c r="R44" s="551"/>
      <c r="S44" s="551"/>
      <c r="T44" s="551"/>
      <c r="U44" s="551"/>
      <c r="V44" s="551"/>
      <c r="W44" s="551"/>
      <c r="X44" s="551"/>
      <c r="Y44" s="551"/>
      <c r="Z44" s="551"/>
      <c r="AA44" s="551"/>
      <c r="AB44" s="551"/>
      <c r="AC44" s="551"/>
    </row>
    <row r="45" spans="1:29">
      <c r="A45" s="551"/>
      <c r="B45" s="551" t="s">
        <v>346</v>
      </c>
      <c r="C45" s="551"/>
      <c r="D45" s="551"/>
      <c r="E45" s="551"/>
      <c r="F45" s="551"/>
      <c r="G45" s="551"/>
      <c r="H45" s="551"/>
      <c r="I45" s="551"/>
      <c r="J45" s="551"/>
      <c r="K45" s="551"/>
      <c r="L45" s="551"/>
      <c r="M45" s="551"/>
      <c r="N45" s="551"/>
      <c r="O45" s="551"/>
      <c r="P45" s="551"/>
      <c r="Q45" s="551"/>
      <c r="R45" s="551"/>
      <c r="S45" s="551"/>
      <c r="T45" s="551"/>
      <c r="U45" s="551"/>
      <c r="V45" s="551"/>
      <c r="W45" s="551"/>
      <c r="X45" s="551"/>
      <c r="Y45" s="551"/>
      <c r="Z45" s="551"/>
      <c r="AA45" s="551"/>
      <c r="AB45" s="551"/>
      <c r="AC45" s="551"/>
    </row>
    <row r="46" spans="1:29">
      <c r="A46" s="551"/>
      <c r="B46" s="551"/>
      <c r="C46" s="551"/>
      <c r="D46" s="551"/>
      <c r="E46" s="551"/>
      <c r="F46" s="551"/>
      <c r="G46" s="551"/>
      <c r="H46" s="551"/>
      <c r="I46" s="551"/>
      <c r="J46" s="551"/>
      <c r="K46" s="551"/>
      <c r="L46" s="551"/>
      <c r="M46" s="551"/>
      <c r="N46" s="551"/>
      <c r="O46" s="551"/>
      <c r="P46" s="551"/>
      <c r="Q46" s="551"/>
      <c r="R46" s="551"/>
      <c r="S46" s="551"/>
      <c r="T46" s="551"/>
      <c r="U46" s="551"/>
      <c r="V46" s="551"/>
      <c r="W46" s="551"/>
      <c r="X46" s="551"/>
      <c r="Y46" s="551"/>
      <c r="Z46" s="551"/>
      <c r="AA46" s="551"/>
      <c r="AB46" s="551"/>
      <c r="AC46" s="551"/>
    </row>
    <row r="47" spans="1:29">
      <c r="A47" s="551"/>
      <c r="B47" s="563" t="s">
        <v>24</v>
      </c>
      <c r="C47" s="563">
        <f>D39</f>
        <v>33790</v>
      </c>
      <c r="D47" s="551"/>
      <c r="E47" s="551"/>
      <c r="F47" s="551"/>
      <c r="G47" s="551"/>
      <c r="H47" s="551"/>
      <c r="I47" s="551"/>
      <c r="J47" s="551"/>
      <c r="K47" s="551"/>
      <c r="L47" s="551"/>
      <c r="M47" s="551"/>
      <c r="N47" s="551"/>
      <c r="O47" s="551"/>
      <c r="P47" s="551"/>
      <c r="Q47" s="551"/>
      <c r="R47" s="551"/>
      <c r="S47" s="551"/>
      <c r="T47" s="551"/>
      <c r="U47" s="551"/>
      <c r="V47" s="551"/>
      <c r="W47" s="551"/>
      <c r="X47" s="551"/>
      <c r="Y47" s="551"/>
      <c r="Z47" s="551"/>
      <c r="AA47" s="551"/>
      <c r="AB47" s="551"/>
      <c r="AC47" s="551"/>
    </row>
    <row r="48" spans="1:29">
      <c r="A48" s="551"/>
      <c r="B48" s="551"/>
      <c r="C48" s="551"/>
      <c r="D48" s="551"/>
      <c r="E48" s="551"/>
      <c r="F48" s="551"/>
      <c r="G48" s="551"/>
      <c r="H48" s="551"/>
      <c r="I48" s="551"/>
      <c r="J48" s="561"/>
      <c r="K48" s="551"/>
      <c r="L48" s="551"/>
      <c r="M48" s="551"/>
      <c r="N48" s="551"/>
      <c r="O48" s="551"/>
      <c r="P48" s="551"/>
      <c r="Q48" s="551"/>
      <c r="R48" s="551"/>
      <c r="S48" s="551"/>
      <c r="T48" s="551"/>
      <c r="U48" s="551"/>
      <c r="V48" s="551"/>
      <c r="W48" s="551"/>
      <c r="X48" s="551"/>
      <c r="Y48" s="551"/>
      <c r="Z48" s="551"/>
      <c r="AA48" s="551"/>
      <c r="AB48" s="551"/>
      <c r="AC48" s="551"/>
    </row>
    <row r="49" spans="1:29">
      <c r="A49" s="551"/>
      <c r="B49" s="580" t="str">
        <f>E39</f>
        <v>István Molnár Kft.</v>
      </c>
      <c r="C49" s="551"/>
      <c r="D49" s="551"/>
      <c r="E49" s="551"/>
      <c r="F49" s="551"/>
      <c r="G49" s="551"/>
      <c r="H49" s="551"/>
      <c r="I49" s="551"/>
      <c r="J49" s="561"/>
      <c r="K49" s="551"/>
      <c r="L49" s="551"/>
      <c r="M49" s="551"/>
      <c r="N49" s="551"/>
      <c r="O49" s="551"/>
      <c r="P49" s="551"/>
      <c r="Q49" s="551"/>
      <c r="R49" s="551"/>
      <c r="S49" s="551"/>
      <c r="T49" s="551"/>
      <c r="U49" s="551"/>
      <c r="V49" s="551"/>
      <c r="W49" s="551"/>
      <c r="X49" s="551"/>
      <c r="Y49" s="551"/>
      <c r="Z49" s="551"/>
      <c r="AA49" s="551"/>
      <c r="AB49" s="551"/>
      <c r="AC49" s="551"/>
    </row>
    <row r="50" spans="1:29">
      <c r="A50" s="551"/>
      <c r="B50" s="580" t="s">
        <v>347</v>
      </c>
      <c r="C50" s="551"/>
      <c r="D50" s="551"/>
      <c r="E50" s="551"/>
      <c r="F50" s="551"/>
      <c r="G50" s="551"/>
      <c r="H50" s="551"/>
      <c r="I50" s="551"/>
      <c r="J50" s="561"/>
      <c r="K50" s="551"/>
      <c r="L50" s="551"/>
      <c r="M50" s="551"/>
      <c r="N50" s="551"/>
      <c r="O50" s="551"/>
      <c r="P50" s="551"/>
      <c r="Q50" s="551"/>
      <c r="R50" s="551"/>
      <c r="S50" s="551"/>
      <c r="T50" s="551"/>
      <c r="U50" s="551"/>
      <c r="V50" s="551"/>
      <c r="W50" s="551"/>
      <c r="X50" s="551"/>
      <c r="Y50" s="551"/>
      <c r="Z50" s="551"/>
      <c r="AA50" s="551"/>
      <c r="AB50" s="551"/>
      <c r="AC50" s="551"/>
    </row>
    <row r="51" spans="1:29">
      <c r="A51" s="551"/>
      <c r="B51" s="551" t="s">
        <v>288</v>
      </c>
      <c r="C51" s="552"/>
      <c r="D51" s="551"/>
      <c r="E51" s="581" t="s">
        <v>269</v>
      </c>
      <c r="F51" s="551"/>
      <c r="G51" s="551"/>
      <c r="H51" s="551"/>
      <c r="I51" s="551"/>
      <c r="J51" s="560"/>
      <c r="K51" s="551"/>
      <c r="L51" s="551"/>
      <c r="M51" s="551"/>
      <c r="N51" s="551"/>
      <c r="O51" s="551"/>
      <c r="P51" s="551"/>
      <c r="Q51" s="551"/>
      <c r="R51" s="551"/>
      <c r="S51" s="551"/>
      <c r="T51" s="551"/>
      <c r="U51" s="551"/>
      <c r="V51" s="551"/>
      <c r="W51" s="551"/>
      <c r="X51" s="551"/>
      <c r="Y51" s="551"/>
      <c r="Z51" s="551"/>
      <c r="AA51" s="551"/>
      <c r="AB51" s="551"/>
      <c r="AC51" s="551"/>
    </row>
    <row r="52" spans="1:29">
      <c r="A52" s="551"/>
      <c r="B52" s="552" t="s">
        <v>287</v>
      </c>
      <c r="C52" s="551"/>
      <c r="D52" s="551"/>
      <c r="E52" s="551"/>
      <c r="F52" s="551"/>
      <c r="G52" s="551"/>
      <c r="H52" s="551"/>
      <c r="I52" s="551"/>
      <c r="J52" s="560"/>
      <c r="K52" s="551"/>
      <c r="L52" s="551"/>
      <c r="M52" s="551"/>
      <c r="N52" s="551"/>
      <c r="O52" s="551"/>
      <c r="P52" s="551"/>
      <c r="Q52" s="551"/>
      <c r="R52" s="551"/>
      <c r="S52" s="551"/>
      <c r="T52" s="551"/>
      <c r="U52" s="551"/>
      <c r="V52" s="551"/>
      <c r="W52" s="551"/>
      <c r="X52" s="551"/>
      <c r="Y52" s="551"/>
      <c r="Z52" s="551"/>
      <c r="AA52" s="551"/>
      <c r="AB52" s="551"/>
      <c r="AC52" s="551"/>
    </row>
    <row r="53" spans="1:29">
      <c r="A53" s="580"/>
      <c r="B53" s="580" t="s">
        <v>148</v>
      </c>
      <c r="C53" s="562" t="s">
        <v>348</v>
      </c>
      <c r="D53" s="551"/>
      <c r="E53" s="551"/>
      <c r="F53" s="551"/>
      <c r="G53" s="551"/>
      <c r="H53" s="551"/>
      <c r="I53" s="551"/>
      <c r="J53" s="551"/>
      <c r="K53" s="551"/>
      <c r="L53" s="551"/>
      <c r="M53" s="551"/>
      <c r="N53" s="551"/>
      <c r="O53" s="551"/>
      <c r="P53" s="551"/>
      <c r="Q53" s="551"/>
      <c r="R53" s="551"/>
      <c r="S53" s="551"/>
      <c r="T53" s="551"/>
      <c r="U53" s="551"/>
      <c r="V53" s="551"/>
      <c r="W53" s="551"/>
      <c r="X53" s="551"/>
      <c r="Y53" s="551"/>
      <c r="Z53" s="551"/>
      <c r="AA53" s="551"/>
      <c r="AB53" s="551"/>
      <c r="AC53" s="551"/>
    </row>
    <row r="54" spans="1:29">
      <c r="A54" s="551"/>
      <c r="B54" s="551" t="s">
        <v>111</v>
      </c>
      <c r="C54" s="603" t="s">
        <v>349</v>
      </c>
      <c r="D54" s="551"/>
      <c r="E54" s="551"/>
      <c r="F54" s="551"/>
      <c r="G54" s="551"/>
      <c r="H54" s="551"/>
      <c r="I54" s="551"/>
      <c r="J54" s="551"/>
      <c r="K54" s="551"/>
      <c r="L54" s="551"/>
      <c r="M54" s="551"/>
      <c r="N54" s="551"/>
      <c r="O54" s="551"/>
      <c r="P54" s="551"/>
      <c r="Q54" s="551"/>
      <c r="R54" s="551"/>
      <c r="S54" s="551"/>
      <c r="T54" s="551"/>
      <c r="U54" s="551"/>
      <c r="V54" s="551"/>
      <c r="W54" s="551"/>
      <c r="X54" s="551"/>
      <c r="Y54" s="551"/>
      <c r="Z54" s="551"/>
      <c r="AA54" s="551"/>
      <c r="AB54" s="551"/>
      <c r="AC54" s="551"/>
    </row>
    <row r="55" spans="1:29">
      <c r="A55" s="551"/>
      <c r="B55" s="582" t="s">
        <v>112</v>
      </c>
      <c r="C55" s="603" t="s">
        <v>350</v>
      </c>
      <c r="D55" s="551"/>
      <c r="E55" s="551"/>
      <c r="F55" s="551"/>
      <c r="G55" s="551"/>
      <c r="H55" s="551"/>
      <c r="I55" s="551"/>
      <c r="J55" s="551"/>
      <c r="K55" s="551"/>
      <c r="L55" s="551"/>
      <c r="M55" s="551"/>
      <c r="N55" s="551"/>
      <c r="O55" s="551"/>
      <c r="P55" s="551"/>
      <c r="Q55" s="551"/>
      <c r="R55" s="551"/>
      <c r="S55" s="551"/>
      <c r="T55" s="551"/>
      <c r="U55" s="551"/>
      <c r="V55" s="551"/>
      <c r="W55" s="551"/>
      <c r="X55" s="551"/>
      <c r="Y55" s="551"/>
      <c r="Z55" s="551"/>
      <c r="AA55" s="551"/>
      <c r="AB55" s="551"/>
      <c r="AC55" s="551"/>
    </row>
    <row r="56" spans="1:29">
      <c r="A56" s="580"/>
      <c r="B56" s="580" t="s">
        <v>147</v>
      </c>
      <c r="C56" s="583" t="s">
        <v>289</v>
      </c>
      <c r="D56" s="551"/>
      <c r="E56" s="551" t="s">
        <v>270</v>
      </c>
      <c r="F56" s="551"/>
      <c r="G56" s="551"/>
      <c r="H56" s="551"/>
      <c r="I56" s="551"/>
      <c r="J56" s="551"/>
      <c r="K56" s="551"/>
      <c r="L56" s="551"/>
      <c r="M56" s="551"/>
      <c r="N56" s="551"/>
      <c r="O56" s="551"/>
      <c r="P56" s="551"/>
      <c r="Q56" s="551"/>
      <c r="R56" s="551"/>
      <c r="S56" s="551"/>
      <c r="T56" s="551"/>
      <c r="U56" s="551"/>
      <c r="V56" s="551"/>
      <c r="W56" s="551"/>
      <c r="X56" s="551"/>
      <c r="Y56" s="551"/>
      <c r="Z56" s="551"/>
      <c r="AA56" s="551"/>
      <c r="AB56" s="551"/>
      <c r="AC56" s="551"/>
    </row>
    <row r="57" spans="1:29">
      <c r="A57" s="580"/>
      <c r="B57" s="580" t="s">
        <v>161</v>
      </c>
      <c r="C57" s="603" t="s">
        <v>351</v>
      </c>
      <c r="D57" s="551"/>
      <c r="E57" s="551"/>
      <c r="F57" s="551"/>
      <c r="G57" s="551"/>
      <c r="H57" s="551"/>
      <c r="I57" s="551"/>
      <c r="J57" s="551"/>
      <c r="K57" s="551"/>
      <c r="L57" s="551"/>
      <c r="M57" s="551"/>
      <c r="N57" s="551"/>
      <c r="O57" s="551"/>
      <c r="P57" s="551"/>
      <c r="Q57" s="551"/>
      <c r="R57" s="551"/>
      <c r="S57" s="551"/>
      <c r="T57" s="551"/>
      <c r="U57" s="551"/>
      <c r="V57" s="551"/>
      <c r="W57" s="551"/>
      <c r="X57" s="551"/>
      <c r="Y57" s="551"/>
      <c r="Z57" s="551"/>
      <c r="AA57" s="551"/>
      <c r="AB57" s="551"/>
      <c r="AC57" s="551"/>
    </row>
    <row r="58" spans="1:29">
      <c r="A58" s="580"/>
      <c r="B58" s="580"/>
      <c r="C58" s="584"/>
      <c r="D58" s="551"/>
      <c r="E58" s="551"/>
      <c r="F58" s="551"/>
      <c r="G58" s="551"/>
      <c r="H58" s="551"/>
      <c r="I58" s="551"/>
      <c r="J58" s="551"/>
      <c r="K58" s="551"/>
      <c r="L58" s="551"/>
      <c r="M58" s="551"/>
      <c r="N58" s="551"/>
      <c r="O58" s="551"/>
      <c r="P58" s="551"/>
      <c r="Q58" s="551"/>
      <c r="R58" s="551"/>
      <c r="S58" s="551"/>
      <c r="T58" s="551"/>
      <c r="U58" s="551"/>
      <c r="V58" s="551"/>
      <c r="W58" s="551"/>
      <c r="X58" s="551"/>
      <c r="Y58" s="551"/>
      <c r="Z58" s="551"/>
      <c r="AA58" s="551"/>
      <c r="AB58" s="551"/>
      <c r="AC58" s="551"/>
    </row>
    <row r="59" spans="1:29">
      <c r="A59" s="580"/>
      <c r="B59" s="585"/>
      <c r="C59" s="560"/>
      <c r="D59" s="551"/>
      <c r="E59" s="551"/>
      <c r="F59" s="551"/>
      <c r="G59" s="551"/>
      <c r="H59" s="551"/>
      <c r="I59" s="551"/>
      <c r="J59" s="551"/>
      <c r="K59" s="551"/>
      <c r="L59" s="551"/>
      <c r="M59" s="551"/>
      <c r="N59" s="551"/>
      <c r="O59" s="551"/>
      <c r="P59" s="551"/>
      <c r="Q59" s="551"/>
      <c r="R59" s="551"/>
      <c r="S59" s="551"/>
      <c r="T59" s="551"/>
      <c r="U59" s="551"/>
      <c r="V59" s="551"/>
      <c r="W59" s="551"/>
      <c r="X59" s="551"/>
      <c r="Y59" s="551"/>
      <c r="Z59" s="551"/>
      <c r="AA59" s="551"/>
      <c r="AB59" s="551"/>
      <c r="AC59" s="551"/>
    </row>
    <row r="60" spans="1:29">
      <c r="A60" s="580"/>
      <c r="B60" s="580" t="s">
        <v>116</v>
      </c>
      <c r="C60" s="582" t="s">
        <v>222</v>
      </c>
      <c r="D60" s="551" t="str">
        <f>B52</f>
        <v>Hungary</v>
      </c>
      <c r="E60" s="551"/>
      <c r="F60" s="551"/>
      <c r="G60" s="551"/>
      <c r="H60" s="551"/>
      <c r="I60" s="551"/>
      <c r="J60" s="551"/>
      <c r="K60" s="551"/>
      <c r="L60" s="551"/>
      <c r="M60" s="551"/>
      <c r="N60" s="551"/>
      <c r="O60" s="551"/>
      <c r="P60" s="551"/>
      <c r="Q60" s="551"/>
      <c r="R60" s="551"/>
      <c r="S60" s="551"/>
      <c r="T60" s="551"/>
      <c r="U60" s="551"/>
      <c r="V60" s="551"/>
      <c r="W60" s="551"/>
      <c r="X60" s="551"/>
      <c r="Y60" s="551"/>
      <c r="Z60" s="551"/>
      <c r="AA60" s="551"/>
      <c r="AB60" s="551"/>
      <c r="AC60" s="551"/>
    </row>
    <row r="61" spans="1:29">
      <c r="A61" s="580"/>
      <c r="B61" s="580" t="s">
        <v>20</v>
      </c>
      <c r="C61" s="582" t="s">
        <v>290</v>
      </c>
      <c r="D61" s="551"/>
      <c r="E61" s="551"/>
      <c r="F61" s="551"/>
      <c r="G61" s="551"/>
      <c r="H61" s="551"/>
      <c r="I61" s="620"/>
      <c r="J61" s="551"/>
      <c r="K61" s="551"/>
      <c r="L61" s="551"/>
      <c r="M61" s="551"/>
      <c r="N61" s="551"/>
      <c r="O61" s="551"/>
      <c r="P61" s="551"/>
      <c r="Q61" s="551"/>
      <c r="R61" s="551"/>
      <c r="S61" s="551"/>
      <c r="T61" s="551"/>
      <c r="U61" s="551"/>
      <c r="V61" s="551"/>
      <c r="W61" s="551"/>
      <c r="X61" s="551"/>
      <c r="Y61" s="551"/>
      <c r="Z61" s="551"/>
      <c r="AA61" s="551"/>
      <c r="AB61" s="551"/>
      <c r="AC61" s="551"/>
    </row>
    <row r="62" spans="1:29">
      <c r="A62" s="580"/>
      <c r="B62" s="580" t="s">
        <v>21</v>
      </c>
      <c r="C62" s="586" t="s">
        <v>223</v>
      </c>
      <c r="D62" s="551"/>
      <c r="E62" s="551"/>
      <c r="F62" s="551"/>
      <c r="G62" s="551"/>
      <c r="H62" s="551"/>
      <c r="I62" s="620"/>
      <c r="J62" s="551"/>
      <c r="K62" s="551"/>
      <c r="L62" s="551"/>
      <c r="M62" s="551"/>
      <c r="N62" s="551"/>
      <c r="O62" s="551"/>
      <c r="P62" s="551"/>
      <c r="Q62" s="551"/>
      <c r="R62" s="551"/>
      <c r="S62" s="551"/>
      <c r="T62" s="551"/>
      <c r="U62" s="551"/>
      <c r="V62" s="551"/>
      <c r="W62" s="551"/>
      <c r="X62" s="551"/>
      <c r="Y62" s="551"/>
      <c r="Z62" s="551"/>
      <c r="AA62" s="551"/>
      <c r="AB62" s="551"/>
      <c r="AC62" s="551"/>
    </row>
    <row r="63" spans="1:29">
      <c r="A63" s="580"/>
      <c r="B63" s="580"/>
      <c r="C63" s="560"/>
      <c r="D63" s="551"/>
      <c r="E63" s="551"/>
      <c r="F63" s="551"/>
      <c r="G63" s="551"/>
      <c r="H63" s="551"/>
      <c r="I63" s="719"/>
      <c r="J63" s="719"/>
      <c r="K63" s="719"/>
      <c r="L63" s="719"/>
      <c r="M63" s="551"/>
      <c r="N63" s="551"/>
      <c r="O63" s="551"/>
      <c r="P63" s="551"/>
      <c r="Q63" s="551"/>
      <c r="R63" s="551"/>
      <c r="S63" s="551"/>
      <c r="T63" s="551"/>
      <c r="U63" s="551"/>
      <c r="V63" s="551"/>
      <c r="W63" s="551"/>
      <c r="X63" s="551"/>
      <c r="Y63" s="551"/>
      <c r="Z63" s="551"/>
      <c r="AA63" s="551"/>
      <c r="AB63" s="551"/>
      <c r="AC63" s="551"/>
    </row>
    <row r="64" spans="1:29" ht="15.75" customHeight="1">
      <c r="A64" s="580"/>
      <c r="B64" s="580"/>
      <c r="C64" s="580"/>
      <c r="D64" s="551"/>
      <c r="E64" s="551"/>
      <c r="F64" s="551"/>
      <c r="G64" s="551"/>
      <c r="H64" s="551"/>
      <c r="I64" s="621"/>
      <c r="J64" s="621"/>
      <c r="K64" s="622"/>
      <c r="L64" s="623"/>
      <c r="M64" s="551"/>
      <c r="N64" s="551"/>
      <c r="O64" s="551"/>
      <c r="P64" s="551"/>
      <c r="Q64" s="551"/>
      <c r="R64" s="551"/>
      <c r="S64" s="551"/>
      <c r="T64" s="551"/>
      <c r="U64" s="551"/>
      <c r="V64" s="551"/>
      <c r="W64" s="551"/>
      <c r="X64" s="551"/>
      <c r="Y64" s="551"/>
      <c r="Z64" s="551"/>
      <c r="AA64" s="551"/>
      <c r="AB64" s="551"/>
      <c r="AC64" s="551"/>
    </row>
    <row r="65" spans="1:29">
      <c r="A65" s="551"/>
      <c r="B65" s="551" t="s">
        <v>202</v>
      </c>
      <c r="C65" s="551"/>
      <c r="D65" s="551"/>
      <c r="E65" s="551"/>
      <c r="F65" s="551"/>
      <c r="G65" s="551"/>
      <c r="H65" s="551"/>
      <c r="I65" s="551"/>
      <c r="J65" s="551"/>
      <c r="K65" s="622"/>
      <c r="L65" s="623"/>
      <c r="M65" s="551"/>
      <c r="N65" s="551"/>
      <c r="O65" s="551"/>
      <c r="P65" s="551"/>
      <c r="Q65" s="551"/>
      <c r="R65" s="551"/>
      <c r="S65" s="551"/>
      <c r="T65" s="551"/>
      <c r="U65" s="551"/>
      <c r="V65" s="551"/>
      <c r="W65" s="551"/>
      <c r="X65" s="551"/>
      <c r="Y65" s="551"/>
      <c r="Z65" s="551"/>
      <c r="AA65" s="551"/>
      <c r="AB65" s="551"/>
      <c r="AC65" s="551"/>
    </row>
    <row r="66" spans="1:29">
      <c r="A66" s="551"/>
      <c r="B66" s="551"/>
      <c r="C66" s="551"/>
      <c r="D66" s="551"/>
      <c r="E66" s="551"/>
      <c r="F66" s="551"/>
      <c r="G66" s="551"/>
      <c r="H66" s="551"/>
      <c r="I66" s="551"/>
      <c r="J66" s="551"/>
      <c r="K66" s="621"/>
      <c r="L66" s="623"/>
      <c r="M66" s="551"/>
      <c r="N66" s="551"/>
      <c r="O66" s="551"/>
      <c r="P66" s="551"/>
      <c r="Q66" s="551"/>
      <c r="R66" s="551"/>
      <c r="S66" s="551"/>
      <c r="T66" s="551"/>
      <c r="U66" s="551"/>
      <c r="V66" s="551"/>
      <c r="W66" s="551"/>
      <c r="X66" s="551"/>
      <c r="Y66" s="551"/>
      <c r="Z66" s="551"/>
      <c r="AA66" s="551"/>
      <c r="AB66" s="551"/>
      <c r="AC66" s="551"/>
    </row>
    <row r="67" spans="1:29">
      <c r="A67" s="551"/>
      <c r="B67" s="551"/>
      <c r="C67" s="551"/>
      <c r="D67" s="551"/>
      <c r="E67" s="551"/>
      <c r="F67" s="551"/>
      <c r="G67" s="551"/>
      <c r="H67" s="551"/>
      <c r="I67" s="551"/>
      <c r="J67" s="551"/>
      <c r="K67" s="551"/>
      <c r="L67" s="551"/>
      <c r="M67" s="551"/>
      <c r="N67" s="551"/>
      <c r="O67" s="551"/>
      <c r="P67" s="551"/>
      <c r="Q67" s="551"/>
      <c r="R67" s="551"/>
      <c r="S67" s="551"/>
      <c r="T67" s="551"/>
      <c r="U67" s="551"/>
      <c r="V67" s="551"/>
      <c r="W67" s="551"/>
      <c r="X67" s="551"/>
      <c r="Y67" s="551"/>
      <c r="Z67" s="551"/>
      <c r="AA67" s="551"/>
      <c r="AB67" s="551"/>
      <c r="AC67" s="551"/>
    </row>
    <row r="68" spans="1:29">
      <c r="A68" s="551">
        <v>1</v>
      </c>
      <c r="B68" s="551" t="str">
        <f>E38</f>
        <v>SPEEDY GmbH</v>
      </c>
      <c r="C68" s="551"/>
      <c r="D68" s="563" t="s">
        <v>98</v>
      </c>
      <c r="E68" s="563">
        <f>D38</f>
        <v>33087</v>
      </c>
      <c r="F68" s="551"/>
      <c r="G68" s="551"/>
      <c r="H68" s="551"/>
      <c r="I68" s="551"/>
      <c r="J68" s="551"/>
      <c r="K68" s="551"/>
      <c r="L68" s="551"/>
      <c r="M68" s="551"/>
      <c r="N68" s="551"/>
      <c r="O68" s="551"/>
      <c r="P68" s="551"/>
      <c r="Q68" s="551"/>
      <c r="R68" s="551"/>
      <c r="S68" s="551"/>
      <c r="T68" s="551"/>
      <c r="U68" s="551"/>
      <c r="V68" s="551"/>
      <c r="W68" s="551"/>
      <c r="X68" s="551"/>
      <c r="Y68" s="551"/>
      <c r="Z68" s="551"/>
      <c r="AA68" s="551"/>
      <c r="AB68" s="551"/>
      <c r="AC68" s="551"/>
    </row>
    <row r="69" spans="1:29">
      <c r="A69" s="551"/>
      <c r="B69" s="551" t="s">
        <v>95</v>
      </c>
      <c r="C69" s="551"/>
      <c r="D69" s="551"/>
      <c r="E69" s="551"/>
      <c r="F69" s="551"/>
      <c r="G69" s="551"/>
      <c r="H69" s="551"/>
      <c r="I69" s="551"/>
      <c r="J69" s="551"/>
      <c r="K69" s="551"/>
      <c r="L69" s="551"/>
      <c r="M69" s="551"/>
      <c r="N69" s="551"/>
      <c r="O69" s="551"/>
      <c r="P69" s="551"/>
      <c r="Q69" s="551"/>
      <c r="R69" s="551"/>
      <c r="S69" s="551"/>
      <c r="T69" s="551"/>
      <c r="U69" s="551"/>
      <c r="V69" s="551"/>
      <c r="W69" s="551"/>
      <c r="X69" s="551"/>
      <c r="Y69" s="551"/>
      <c r="Z69" s="551"/>
      <c r="AA69" s="551"/>
      <c r="AB69" s="551"/>
      <c r="AC69" s="551"/>
    </row>
    <row r="70" spans="1:29">
      <c r="A70" s="551"/>
      <c r="B70" s="552">
        <v>1100</v>
      </c>
      <c r="C70" s="551" t="s">
        <v>252</v>
      </c>
      <c r="D70" s="551"/>
      <c r="E70" s="551"/>
      <c r="F70" s="551"/>
      <c r="G70" s="551"/>
      <c r="H70" s="551"/>
      <c r="I70" s="551"/>
      <c r="J70" s="551"/>
      <c r="K70" s="551"/>
      <c r="L70" s="551"/>
      <c r="M70" s="551"/>
      <c r="N70" s="551"/>
      <c r="O70" s="551"/>
      <c r="P70" s="551"/>
      <c r="Q70" s="551"/>
      <c r="R70" s="551"/>
      <c r="S70" s="551"/>
      <c r="T70" s="551"/>
      <c r="U70" s="551"/>
      <c r="V70" s="551"/>
      <c r="W70" s="551"/>
      <c r="X70" s="551"/>
      <c r="Y70" s="551"/>
      <c r="Z70" s="551"/>
      <c r="AA70" s="551"/>
      <c r="AB70" s="551"/>
      <c r="AC70" s="551"/>
    </row>
    <row r="71" spans="1:29">
      <c r="A71" s="551"/>
      <c r="B71" s="551" t="s">
        <v>67</v>
      </c>
      <c r="C71" s="551"/>
      <c r="D71" s="551"/>
      <c r="E71" s="551"/>
      <c r="F71" s="551"/>
      <c r="G71" s="551"/>
      <c r="H71" s="551"/>
      <c r="I71" s="551"/>
      <c r="J71" s="551"/>
      <c r="K71" s="551"/>
      <c r="L71" s="551"/>
      <c r="M71" s="551"/>
      <c r="N71" s="551"/>
      <c r="O71" s="551"/>
      <c r="P71" s="551"/>
      <c r="Q71" s="551"/>
      <c r="R71" s="551"/>
      <c r="S71" s="551"/>
      <c r="T71" s="551"/>
      <c r="U71" s="551"/>
      <c r="V71" s="551"/>
      <c r="W71" s="551"/>
      <c r="X71" s="551"/>
      <c r="Y71" s="551"/>
      <c r="Z71" s="551"/>
      <c r="AA71" s="551"/>
      <c r="AB71" s="551"/>
      <c r="AC71" s="551"/>
    </row>
    <row r="72" spans="1:29">
      <c r="A72" s="551"/>
      <c r="B72" s="551" t="s">
        <v>96</v>
      </c>
      <c r="C72" s="551"/>
      <c r="D72" s="551"/>
      <c r="E72" s="551"/>
      <c r="F72" s="551"/>
      <c r="G72" s="551"/>
      <c r="H72" s="551"/>
      <c r="I72" s="551"/>
      <c r="J72" s="551"/>
      <c r="K72" s="551"/>
      <c r="L72" s="551"/>
      <c r="M72" s="551"/>
      <c r="N72" s="551"/>
      <c r="O72" s="551"/>
      <c r="P72" s="551"/>
      <c r="Q72" s="551"/>
      <c r="R72" s="551"/>
      <c r="S72" s="551"/>
      <c r="T72" s="551"/>
      <c r="U72" s="551"/>
      <c r="V72" s="551"/>
      <c r="W72" s="551"/>
      <c r="X72" s="551"/>
      <c r="Y72" s="551"/>
      <c r="Z72" s="551"/>
      <c r="AA72" s="551"/>
      <c r="AB72" s="551"/>
      <c r="AC72" s="551"/>
    </row>
    <row r="73" spans="1:29">
      <c r="A73" s="551"/>
      <c r="B73" s="551" t="s">
        <v>97</v>
      </c>
      <c r="C73" s="551"/>
      <c r="D73" s="551"/>
      <c r="E73" s="551"/>
      <c r="F73" s="551"/>
      <c r="G73" s="551"/>
      <c r="H73" s="551"/>
      <c r="I73" s="551"/>
      <c r="J73" s="551"/>
      <c r="K73" s="551"/>
      <c r="L73" s="551"/>
      <c r="M73" s="551"/>
      <c r="N73" s="551"/>
      <c r="O73" s="551"/>
      <c r="P73" s="551"/>
      <c r="Q73" s="551"/>
      <c r="R73" s="551"/>
      <c r="S73" s="551"/>
      <c r="T73" s="551"/>
      <c r="U73" s="551"/>
      <c r="V73" s="551"/>
      <c r="W73" s="551"/>
      <c r="X73" s="551"/>
      <c r="Y73" s="551"/>
      <c r="Z73" s="551"/>
      <c r="AA73" s="551"/>
      <c r="AB73" s="551"/>
      <c r="AC73" s="551"/>
    </row>
    <row r="74" spans="1:29">
      <c r="A74" s="551"/>
      <c r="B74" s="560" t="s">
        <v>145</v>
      </c>
      <c r="C74" s="551"/>
      <c r="D74" s="551"/>
      <c r="E74" s="551"/>
      <c r="F74" s="551"/>
      <c r="G74" s="551"/>
      <c r="H74" s="551"/>
      <c r="I74" s="551"/>
      <c r="J74" s="551"/>
      <c r="K74" s="551"/>
      <c r="L74" s="551"/>
      <c r="M74" s="551"/>
      <c r="N74" s="551"/>
      <c r="O74" s="551"/>
      <c r="P74" s="551"/>
      <c r="Q74" s="551"/>
      <c r="R74" s="551"/>
      <c r="S74" s="551"/>
      <c r="T74" s="551"/>
      <c r="U74" s="551"/>
      <c r="V74" s="551"/>
      <c r="W74" s="551"/>
      <c r="X74" s="551"/>
      <c r="Y74" s="551"/>
      <c r="Z74" s="551"/>
      <c r="AA74" s="551"/>
      <c r="AB74" s="551"/>
      <c r="AC74" s="551"/>
    </row>
    <row r="75" spans="1:29">
      <c r="A75" s="551"/>
      <c r="B75" s="551"/>
      <c r="C75" s="551"/>
      <c r="D75" s="551"/>
      <c r="E75" s="551"/>
      <c r="F75" s="551"/>
      <c r="G75" s="551"/>
      <c r="H75" s="551"/>
      <c r="I75" s="551"/>
      <c r="J75" s="551"/>
      <c r="K75" s="551"/>
      <c r="L75" s="551"/>
      <c r="M75" s="551"/>
      <c r="N75" s="551"/>
      <c r="O75" s="551"/>
      <c r="P75" s="551"/>
      <c r="Q75" s="551"/>
      <c r="R75" s="551"/>
      <c r="S75" s="551"/>
      <c r="T75" s="551"/>
      <c r="U75" s="551"/>
      <c r="V75" s="551"/>
      <c r="W75" s="551"/>
      <c r="X75" s="551"/>
      <c r="Y75" s="551"/>
      <c r="Z75" s="551"/>
      <c r="AA75" s="551"/>
      <c r="AB75" s="551"/>
      <c r="AC75" s="551"/>
    </row>
    <row r="76" spans="1:29">
      <c r="A76" s="551"/>
      <c r="B76" s="554" t="s">
        <v>146</v>
      </c>
      <c r="C76" s="554"/>
      <c r="D76" s="554" t="s">
        <v>212</v>
      </c>
      <c r="E76" s="554"/>
      <c r="F76" s="551"/>
      <c r="G76" s="551"/>
      <c r="H76" s="551"/>
      <c r="I76" s="551"/>
      <c r="J76" s="551"/>
      <c r="K76" s="551"/>
      <c r="L76" s="551"/>
      <c r="M76" s="551"/>
      <c r="N76" s="551"/>
      <c r="O76" s="551"/>
      <c r="P76" s="551"/>
      <c r="Q76" s="551"/>
      <c r="R76" s="551"/>
      <c r="S76" s="551"/>
      <c r="T76" s="551"/>
      <c r="U76" s="551"/>
      <c r="V76" s="551"/>
      <c r="W76" s="551"/>
      <c r="X76" s="551"/>
      <c r="Y76" s="551"/>
      <c r="Z76" s="551"/>
      <c r="AA76" s="551"/>
      <c r="AB76" s="551"/>
      <c r="AC76" s="551"/>
    </row>
    <row r="77" spans="1:29">
      <c r="A77" s="551"/>
      <c r="B77" s="570" t="s">
        <v>147</v>
      </c>
      <c r="C77" s="571"/>
      <c r="D77" s="551" t="s">
        <v>211</v>
      </c>
      <c r="E77" s="551"/>
      <c r="F77" s="551"/>
      <c r="G77" s="551"/>
      <c r="H77" s="551"/>
      <c r="I77" s="551"/>
      <c r="J77" s="551"/>
      <c r="K77" s="551"/>
      <c r="L77" s="551"/>
      <c r="M77" s="551"/>
      <c r="N77" s="551"/>
      <c r="O77" s="551"/>
      <c r="P77" s="551"/>
      <c r="Q77" s="551"/>
      <c r="R77" s="551"/>
      <c r="S77" s="551"/>
      <c r="T77" s="551"/>
      <c r="U77" s="551"/>
      <c r="V77" s="551"/>
      <c r="W77" s="551"/>
      <c r="X77" s="551"/>
      <c r="Y77" s="551"/>
      <c r="Z77" s="551"/>
      <c r="AA77" s="551"/>
      <c r="AB77" s="551"/>
      <c r="AC77" s="551"/>
    </row>
    <row r="78" spans="1:29">
      <c r="A78" s="551"/>
      <c r="B78" s="570" t="s">
        <v>20</v>
      </c>
      <c r="C78" s="571" t="s">
        <v>118</v>
      </c>
      <c r="D78" s="551"/>
      <c r="E78" s="551"/>
      <c r="F78" s="551"/>
      <c r="G78" s="551"/>
      <c r="H78" s="551"/>
      <c r="I78" s="551"/>
      <c r="J78" s="551"/>
      <c r="K78" s="551"/>
      <c r="L78" s="551"/>
      <c r="M78" s="551"/>
      <c r="N78" s="551"/>
      <c r="O78" s="551"/>
      <c r="P78" s="551"/>
      <c r="Q78" s="551"/>
      <c r="R78" s="551"/>
      <c r="S78" s="551"/>
      <c r="T78" s="551"/>
      <c r="U78" s="551"/>
      <c r="V78" s="551"/>
      <c r="W78" s="551"/>
      <c r="X78" s="551"/>
      <c r="Y78" s="551"/>
      <c r="Z78" s="551"/>
      <c r="AA78" s="551"/>
      <c r="AB78" s="551"/>
      <c r="AC78" s="551"/>
    </row>
    <row r="79" spans="1:29">
      <c r="A79" s="551"/>
      <c r="B79" s="570" t="s">
        <v>21</v>
      </c>
      <c r="C79" s="571" t="s">
        <v>213</v>
      </c>
      <c r="D79" s="551"/>
      <c r="E79" s="551"/>
      <c r="F79" s="551" t="s">
        <v>209</v>
      </c>
      <c r="G79" s="551"/>
      <c r="H79" s="551"/>
      <c r="I79" s="551"/>
      <c r="J79" s="551"/>
      <c r="K79" s="551"/>
      <c r="L79" s="551"/>
      <c r="M79" s="551"/>
      <c r="N79" s="551"/>
      <c r="O79" s="551"/>
      <c r="P79" s="551"/>
      <c r="Q79" s="551"/>
      <c r="R79" s="551"/>
      <c r="S79" s="551"/>
      <c r="T79" s="551"/>
      <c r="U79" s="551"/>
      <c r="V79" s="551"/>
      <c r="W79" s="551"/>
      <c r="X79" s="551"/>
      <c r="Y79" s="551"/>
      <c r="Z79" s="551"/>
      <c r="AA79" s="551"/>
      <c r="AB79" s="551"/>
      <c r="AC79" s="551"/>
    </row>
    <row r="80" spans="1:29">
      <c r="A80" s="551"/>
      <c r="B80" s="570"/>
      <c r="C80" s="571"/>
      <c r="D80" s="551"/>
      <c r="E80" s="551"/>
      <c r="F80" s="551"/>
      <c r="G80" s="551"/>
      <c r="H80" s="551"/>
      <c r="I80" s="551"/>
      <c r="J80" s="551"/>
      <c r="K80" s="551"/>
      <c r="L80" s="551"/>
      <c r="M80" s="551"/>
      <c r="N80" s="551"/>
      <c r="O80" s="551"/>
      <c r="P80" s="551"/>
      <c r="Q80" s="551"/>
      <c r="R80" s="551"/>
      <c r="S80" s="551"/>
      <c r="T80" s="551"/>
      <c r="U80" s="551"/>
      <c r="V80" s="551"/>
      <c r="W80" s="551"/>
      <c r="X80" s="551"/>
      <c r="Y80" s="551"/>
      <c r="Z80" s="551"/>
      <c r="AA80" s="551"/>
      <c r="AB80" s="551"/>
      <c r="AC80" s="551"/>
    </row>
    <row r="81" spans="1:29">
      <c r="A81" s="551">
        <v>2</v>
      </c>
      <c r="B81" s="570" t="str">
        <f>E37</f>
        <v>WIT Transport GmbH</v>
      </c>
      <c r="C81" s="571"/>
      <c r="D81" s="563" t="s">
        <v>98</v>
      </c>
      <c r="E81" s="563">
        <f>D37</f>
        <v>33025</v>
      </c>
      <c r="F81" s="551"/>
      <c r="G81" s="551"/>
      <c r="H81" s="551"/>
      <c r="I81" s="551"/>
      <c r="J81" s="551"/>
      <c r="K81" s="551"/>
      <c r="L81" s="551"/>
      <c r="M81" s="551"/>
      <c r="N81" s="551"/>
      <c r="O81" s="551"/>
      <c r="P81" s="551"/>
      <c r="Q81" s="551"/>
      <c r="R81" s="551"/>
      <c r="S81" s="551"/>
      <c r="T81" s="551"/>
      <c r="U81" s="551"/>
      <c r="V81" s="551"/>
      <c r="W81" s="551"/>
      <c r="X81" s="551"/>
      <c r="Y81" s="551"/>
      <c r="Z81" s="551"/>
      <c r="AA81" s="551"/>
      <c r="AB81" s="551"/>
      <c r="AC81" s="551"/>
    </row>
    <row r="82" spans="1:29">
      <c r="A82" s="551"/>
      <c r="B82" s="570" t="s">
        <v>203</v>
      </c>
      <c r="C82" s="571"/>
      <c r="D82" s="551"/>
      <c r="E82" s="551"/>
      <c r="F82" s="551"/>
      <c r="G82" s="551"/>
      <c r="H82" s="551"/>
      <c r="I82" s="551"/>
      <c r="J82" s="551"/>
      <c r="K82" s="551"/>
      <c r="L82" s="551"/>
      <c r="M82" s="551"/>
      <c r="N82" s="551"/>
      <c r="O82" s="551"/>
      <c r="P82" s="551"/>
      <c r="Q82" s="551"/>
      <c r="R82" s="551"/>
      <c r="S82" s="551"/>
      <c r="T82" s="551"/>
      <c r="U82" s="551"/>
      <c r="V82" s="551"/>
      <c r="W82" s="551"/>
      <c r="X82" s="551"/>
      <c r="Y82" s="551"/>
      <c r="Z82" s="551"/>
      <c r="AA82" s="551"/>
      <c r="AB82" s="551"/>
      <c r="AC82" s="551"/>
    </row>
    <row r="83" spans="1:29">
      <c r="A83" s="551"/>
      <c r="B83" s="587">
        <v>1130</v>
      </c>
      <c r="C83" s="571" t="s">
        <v>252</v>
      </c>
      <c r="D83" s="551"/>
      <c r="E83" s="551"/>
      <c r="F83" s="551"/>
      <c r="G83" s="551"/>
      <c r="H83" s="551"/>
      <c r="I83" s="551"/>
      <c r="J83" s="551"/>
      <c r="K83" s="551"/>
      <c r="L83" s="551"/>
      <c r="M83" s="551"/>
      <c r="N83" s="551"/>
      <c r="O83" s="551"/>
      <c r="P83" s="551"/>
      <c r="Q83" s="551"/>
      <c r="R83" s="551"/>
      <c r="S83" s="551"/>
      <c r="T83" s="551"/>
      <c r="U83" s="551"/>
      <c r="V83" s="551"/>
      <c r="W83" s="551"/>
      <c r="X83" s="551"/>
      <c r="Y83" s="551"/>
      <c r="Z83" s="551"/>
      <c r="AA83" s="551"/>
      <c r="AB83" s="551"/>
      <c r="AC83" s="551"/>
    </row>
    <row r="84" spans="1:29">
      <c r="A84" s="551"/>
      <c r="B84" s="570" t="s">
        <v>67</v>
      </c>
      <c r="C84" s="571"/>
      <c r="D84" s="551"/>
      <c r="E84" s="551"/>
      <c r="F84" s="551"/>
      <c r="G84" s="551"/>
      <c r="H84" s="551"/>
      <c r="I84" s="551"/>
      <c r="J84" s="551"/>
      <c r="K84" s="551"/>
      <c r="L84" s="551"/>
      <c r="M84" s="551"/>
      <c r="N84" s="551"/>
      <c r="O84" s="551"/>
      <c r="P84" s="551"/>
      <c r="Q84" s="551"/>
      <c r="R84" s="551"/>
      <c r="S84" s="551"/>
      <c r="T84" s="551"/>
      <c r="U84" s="551"/>
      <c r="V84" s="551"/>
      <c r="W84" s="551"/>
      <c r="X84" s="551"/>
      <c r="Y84" s="551"/>
      <c r="Z84" s="551"/>
      <c r="AA84" s="551"/>
      <c r="AB84" s="551"/>
      <c r="AC84" s="551"/>
    </row>
    <row r="85" spans="1:29">
      <c r="A85" s="551"/>
      <c r="B85" s="570" t="s">
        <v>204</v>
      </c>
      <c r="C85" s="571"/>
      <c r="D85" s="551"/>
      <c r="E85" s="551"/>
      <c r="F85" s="551"/>
      <c r="G85" s="551"/>
      <c r="H85" s="551"/>
      <c r="I85" s="551"/>
      <c r="J85" s="551"/>
      <c r="K85" s="551"/>
      <c r="L85" s="551"/>
      <c r="M85" s="551"/>
      <c r="N85" s="551"/>
      <c r="O85" s="551"/>
      <c r="P85" s="551"/>
      <c r="Q85" s="551"/>
      <c r="R85" s="551"/>
      <c r="S85" s="551"/>
      <c r="T85" s="551"/>
      <c r="U85" s="551"/>
      <c r="V85" s="551"/>
      <c r="W85" s="551"/>
      <c r="X85" s="551"/>
      <c r="Y85" s="551"/>
      <c r="Z85" s="551"/>
      <c r="AA85" s="551"/>
      <c r="AB85" s="551"/>
      <c r="AC85" s="551"/>
    </row>
    <row r="86" spans="1:29">
      <c r="A86" s="551"/>
      <c r="B86" s="570" t="s">
        <v>205</v>
      </c>
      <c r="C86" s="571"/>
      <c r="D86" s="551"/>
      <c r="E86" s="551"/>
      <c r="F86" s="551"/>
      <c r="G86" s="551"/>
      <c r="H86" s="551"/>
      <c r="I86" s="551"/>
      <c r="J86" s="551"/>
      <c r="K86" s="551"/>
      <c r="L86" s="551"/>
      <c r="M86" s="551"/>
      <c r="N86" s="551"/>
      <c r="O86" s="551"/>
      <c r="P86" s="551"/>
      <c r="Q86" s="551"/>
      <c r="R86" s="551"/>
      <c r="S86" s="551"/>
      <c r="T86" s="551"/>
      <c r="U86" s="551"/>
      <c r="V86" s="551"/>
      <c r="W86" s="551"/>
      <c r="X86" s="551"/>
      <c r="Y86" s="551"/>
      <c r="Z86" s="551"/>
      <c r="AA86" s="551"/>
      <c r="AB86" s="551"/>
      <c r="AC86" s="551"/>
    </row>
    <row r="87" spans="1:29">
      <c r="A87" s="551"/>
      <c r="B87" s="564" t="s">
        <v>206</v>
      </c>
      <c r="C87" s="571"/>
      <c r="D87" s="551"/>
      <c r="E87" s="551"/>
      <c r="F87" s="551"/>
      <c r="G87" s="551"/>
      <c r="H87" s="551"/>
      <c r="I87" s="551"/>
      <c r="J87" s="551"/>
      <c r="K87" s="551"/>
      <c r="L87" s="551"/>
      <c r="M87" s="551"/>
      <c r="N87" s="551"/>
      <c r="O87" s="551"/>
      <c r="P87" s="551"/>
      <c r="Q87" s="551"/>
      <c r="R87" s="551"/>
      <c r="S87" s="551"/>
      <c r="T87" s="551"/>
      <c r="U87" s="551"/>
      <c r="V87" s="551"/>
      <c r="W87" s="551"/>
      <c r="X87" s="551"/>
      <c r="Y87" s="551"/>
      <c r="Z87" s="551"/>
      <c r="AA87" s="551"/>
      <c r="AB87" s="551"/>
      <c r="AC87" s="551"/>
    </row>
    <row r="88" spans="1:29">
      <c r="A88" s="551"/>
      <c r="B88" s="570"/>
      <c r="C88" s="571"/>
      <c r="D88" s="551"/>
      <c r="E88" s="551"/>
      <c r="F88" s="551"/>
      <c r="G88" s="551"/>
      <c r="H88" s="551"/>
      <c r="I88" s="551"/>
      <c r="J88" s="551"/>
      <c r="K88" s="551"/>
      <c r="L88" s="551"/>
      <c r="M88" s="551"/>
      <c r="N88" s="551"/>
      <c r="O88" s="551"/>
      <c r="P88" s="551"/>
      <c r="Q88" s="551"/>
      <c r="R88" s="551"/>
      <c r="S88" s="551"/>
      <c r="T88" s="551"/>
      <c r="U88" s="551"/>
      <c r="V88" s="551"/>
      <c r="W88" s="551"/>
      <c r="X88" s="551"/>
      <c r="Y88" s="551"/>
      <c r="Z88" s="551"/>
      <c r="AA88" s="551"/>
      <c r="AB88" s="551"/>
      <c r="AC88" s="551"/>
    </row>
    <row r="89" spans="1:29">
      <c r="A89" s="551"/>
      <c r="B89" s="554" t="s">
        <v>146</v>
      </c>
      <c r="C89" s="571"/>
      <c r="D89" s="551" t="s">
        <v>207</v>
      </c>
      <c r="E89" s="551"/>
      <c r="F89" s="551"/>
      <c r="G89" s="551"/>
      <c r="H89" s="551"/>
      <c r="I89" s="551"/>
      <c r="J89" s="551"/>
      <c r="K89" s="551"/>
      <c r="L89" s="551"/>
      <c r="M89" s="551"/>
      <c r="N89" s="551"/>
      <c r="O89" s="551"/>
      <c r="P89" s="551"/>
      <c r="Q89" s="551"/>
      <c r="R89" s="551"/>
      <c r="S89" s="551"/>
      <c r="T89" s="551"/>
      <c r="U89" s="551"/>
      <c r="V89" s="551"/>
      <c r="W89" s="551"/>
      <c r="X89" s="551"/>
      <c r="Y89" s="551"/>
      <c r="Z89" s="551"/>
      <c r="AA89" s="551"/>
      <c r="AB89" s="551"/>
      <c r="AC89" s="551"/>
    </row>
    <row r="90" spans="1:29">
      <c r="A90" s="551"/>
      <c r="B90" s="570" t="s">
        <v>147</v>
      </c>
      <c r="C90" s="571"/>
      <c r="D90" s="551" t="s">
        <v>208</v>
      </c>
      <c r="E90" s="551"/>
      <c r="F90" s="551"/>
      <c r="G90" s="551"/>
      <c r="H90" s="551"/>
      <c r="I90" s="551"/>
      <c r="J90" s="551"/>
      <c r="K90" s="551"/>
      <c r="L90" s="551"/>
      <c r="M90" s="551"/>
      <c r="N90" s="551"/>
      <c r="O90" s="551"/>
      <c r="P90" s="551"/>
      <c r="Q90" s="551"/>
      <c r="R90" s="551"/>
      <c r="S90" s="551"/>
      <c r="T90" s="551"/>
      <c r="U90" s="551"/>
      <c r="V90" s="551"/>
      <c r="W90" s="551"/>
      <c r="X90" s="551"/>
      <c r="Y90" s="551"/>
      <c r="Z90" s="551"/>
      <c r="AA90" s="551"/>
      <c r="AB90" s="551"/>
      <c r="AC90" s="551"/>
    </row>
    <row r="91" spans="1:29">
      <c r="A91" s="551"/>
      <c r="B91" s="570" t="s">
        <v>20</v>
      </c>
      <c r="C91" s="571" t="s">
        <v>193</v>
      </c>
      <c r="D91" s="551"/>
      <c r="E91" s="551"/>
      <c r="F91" s="551" t="s">
        <v>196</v>
      </c>
      <c r="G91" s="551"/>
      <c r="H91" s="551"/>
      <c r="I91" s="551"/>
      <c r="J91" s="551"/>
      <c r="K91" s="551"/>
      <c r="L91" s="551"/>
      <c r="M91" s="551"/>
      <c r="N91" s="551"/>
      <c r="O91" s="551"/>
      <c r="P91" s="551"/>
      <c r="Q91" s="551"/>
      <c r="R91" s="551"/>
      <c r="S91" s="551"/>
      <c r="T91" s="551"/>
      <c r="U91" s="551"/>
      <c r="V91" s="551"/>
      <c r="W91" s="551"/>
      <c r="X91" s="551"/>
      <c r="Y91" s="551"/>
      <c r="Z91" s="551"/>
      <c r="AA91" s="551"/>
      <c r="AB91" s="551"/>
      <c r="AC91" s="551"/>
    </row>
    <row r="92" spans="1:29">
      <c r="A92" s="551"/>
      <c r="B92" s="570" t="s">
        <v>21</v>
      </c>
      <c r="C92" s="571" t="s">
        <v>195</v>
      </c>
      <c r="D92" s="551"/>
      <c r="E92" s="551"/>
      <c r="F92" s="551" t="s">
        <v>197</v>
      </c>
      <c r="G92" s="551"/>
      <c r="H92" s="551"/>
      <c r="I92" s="551"/>
      <c r="J92" s="551"/>
      <c r="K92" s="551"/>
      <c r="L92" s="551"/>
      <c r="M92" s="551"/>
      <c r="N92" s="551"/>
      <c r="O92" s="551"/>
      <c r="P92" s="551"/>
      <c r="Q92" s="551"/>
      <c r="R92" s="551"/>
      <c r="S92" s="551"/>
      <c r="T92" s="551"/>
      <c r="U92" s="551"/>
      <c r="V92" s="551"/>
      <c r="W92" s="551"/>
      <c r="X92" s="551"/>
      <c r="Y92" s="551"/>
      <c r="Z92" s="551"/>
      <c r="AA92" s="551"/>
      <c r="AB92" s="551"/>
      <c r="AC92" s="551"/>
    </row>
    <row r="93" spans="1:29">
      <c r="A93" s="551"/>
      <c r="B93" s="570"/>
      <c r="C93" s="571"/>
      <c r="D93" s="551"/>
      <c r="E93" s="551"/>
      <c r="F93" s="551" t="s">
        <v>198</v>
      </c>
      <c r="G93" s="551"/>
      <c r="H93" s="551"/>
      <c r="I93" s="551"/>
      <c r="J93" s="551"/>
      <c r="K93" s="551"/>
      <c r="L93" s="551"/>
      <c r="M93" s="551"/>
      <c r="N93" s="551"/>
      <c r="O93" s="551"/>
      <c r="P93" s="551"/>
      <c r="Q93" s="551"/>
      <c r="R93" s="551"/>
      <c r="S93" s="551"/>
      <c r="T93" s="551"/>
      <c r="U93" s="551"/>
      <c r="V93" s="551"/>
      <c r="W93" s="551"/>
      <c r="X93" s="551"/>
      <c r="Y93" s="551"/>
      <c r="Z93" s="551"/>
      <c r="AA93" s="551"/>
      <c r="AB93" s="551"/>
      <c r="AC93" s="551"/>
    </row>
    <row r="94" spans="1:29">
      <c r="A94" s="551"/>
      <c r="B94" s="551"/>
      <c r="C94" s="565"/>
      <c r="D94" s="565"/>
      <c r="E94" s="565"/>
      <c r="F94" s="551"/>
      <c r="G94" s="551"/>
      <c r="H94" s="551"/>
      <c r="I94" s="551"/>
      <c r="J94" s="551"/>
      <c r="K94" s="551"/>
      <c r="L94" s="551"/>
      <c r="M94" s="551"/>
      <c r="N94" s="551"/>
      <c r="O94" s="551"/>
      <c r="P94" s="551"/>
      <c r="Q94" s="551"/>
      <c r="R94" s="551"/>
      <c r="S94" s="551"/>
      <c r="T94" s="551"/>
      <c r="U94" s="551"/>
      <c r="V94" s="551"/>
      <c r="W94" s="551"/>
      <c r="X94" s="551"/>
      <c r="Y94" s="551"/>
      <c r="Z94" s="551"/>
      <c r="AA94" s="551"/>
      <c r="AB94" s="551"/>
      <c r="AC94" s="551"/>
    </row>
    <row r="95" spans="1:29">
      <c r="A95" s="551"/>
      <c r="B95" s="563" t="s">
        <v>166</v>
      </c>
      <c r="C95" s="563">
        <f>B39</f>
        <v>21591</v>
      </c>
      <c r="D95" s="565"/>
      <c r="E95" s="565"/>
      <c r="F95" s="551"/>
      <c r="G95" s="551"/>
      <c r="H95" s="551"/>
      <c r="I95" s="551"/>
      <c r="J95" s="551"/>
      <c r="K95" s="551"/>
      <c r="L95" s="551"/>
      <c r="M95" s="551"/>
      <c r="N95" s="551"/>
      <c r="O95" s="551"/>
      <c r="P95" s="551"/>
      <c r="Q95" s="551"/>
      <c r="R95" s="551"/>
      <c r="S95" s="551"/>
      <c r="T95" s="551"/>
      <c r="U95" s="551"/>
      <c r="V95" s="551"/>
      <c r="W95" s="551"/>
      <c r="X95" s="551"/>
      <c r="Y95" s="551"/>
      <c r="Z95" s="551"/>
      <c r="AA95" s="551"/>
      <c r="AB95" s="551"/>
      <c r="AC95" s="551"/>
    </row>
    <row r="96" spans="1:29" ht="15.75" customHeight="1">
      <c r="A96" s="551"/>
      <c r="B96" s="588"/>
      <c r="C96" s="551"/>
      <c r="D96" s="551"/>
      <c r="E96" s="551"/>
      <c r="F96" s="551"/>
      <c r="G96" s="551"/>
      <c r="H96" s="551"/>
      <c r="I96" s="551"/>
      <c r="J96" s="551"/>
      <c r="K96" s="551"/>
      <c r="L96" s="551"/>
      <c r="M96" s="551"/>
      <c r="N96" s="551"/>
      <c r="O96" s="551"/>
      <c r="P96" s="551"/>
      <c r="Q96" s="551"/>
      <c r="R96" s="551"/>
      <c r="S96" s="551"/>
      <c r="T96" s="551"/>
      <c r="U96" s="551"/>
      <c r="V96" s="551"/>
      <c r="W96" s="551"/>
      <c r="X96" s="551"/>
      <c r="Y96" s="551"/>
      <c r="Z96" s="551"/>
      <c r="AA96" s="551"/>
      <c r="AB96" s="551"/>
      <c r="AC96" s="551"/>
    </row>
    <row r="97" spans="1:29" ht="15.75" customHeight="1">
      <c r="A97" s="551"/>
      <c r="B97" s="589" t="s">
        <v>274</v>
      </c>
      <c r="C97" s="589" t="s">
        <v>275</v>
      </c>
      <c r="D97" s="565"/>
      <c r="E97" s="565"/>
      <c r="F97" s="565"/>
      <c r="G97" s="566"/>
      <c r="H97" s="551"/>
      <c r="I97" s="551"/>
      <c r="J97" s="551"/>
      <c r="K97" s="551"/>
      <c r="L97" s="551"/>
      <c r="M97" s="551"/>
      <c r="N97" s="551"/>
      <c r="O97" s="551"/>
      <c r="P97" s="551"/>
      <c r="Q97" s="551"/>
      <c r="R97" s="551"/>
      <c r="S97" s="551"/>
      <c r="T97" s="551"/>
      <c r="U97" s="551"/>
      <c r="V97" s="551"/>
      <c r="W97" s="551"/>
      <c r="X97" s="551"/>
      <c r="Y97" s="551"/>
      <c r="Z97" s="551"/>
      <c r="AA97" s="551"/>
      <c r="AB97" s="551"/>
      <c r="AC97" s="551"/>
    </row>
    <row r="98" spans="1:29" ht="15.75" customHeight="1">
      <c r="A98" s="551"/>
      <c r="B98" s="554" t="str">
        <f>C39</f>
        <v>Gagnon AG</v>
      </c>
      <c r="C98" s="565"/>
      <c r="D98" s="565"/>
      <c r="E98" s="565"/>
      <c r="F98" s="565"/>
      <c r="G98" s="566"/>
      <c r="H98" s="551"/>
      <c r="I98" s="551"/>
      <c r="J98" s="551"/>
      <c r="K98" s="551"/>
      <c r="L98" s="551"/>
      <c r="M98" s="551"/>
      <c r="N98" s="551"/>
      <c r="O98" s="551"/>
      <c r="P98" s="551"/>
      <c r="Q98" s="551"/>
      <c r="R98" s="551"/>
      <c r="S98" s="551"/>
      <c r="T98" s="551"/>
      <c r="U98" s="551"/>
      <c r="V98" s="551"/>
      <c r="W98" s="551"/>
      <c r="X98" s="551"/>
      <c r="Y98" s="551"/>
      <c r="Z98" s="551"/>
      <c r="AA98" s="551"/>
      <c r="AB98" s="551"/>
      <c r="AC98" s="551"/>
    </row>
    <row r="99" spans="1:29" ht="15.75" customHeight="1">
      <c r="A99" s="551"/>
      <c r="B99" s="554" t="s">
        <v>354</v>
      </c>
      <c r="C99" s="565"/>
      <c r="D99" s="565"/>
      <c r="E99" s="565"/>
      <c r="F99" s="565"/>
      <c r="G99" s="566"/>
      <c r="H99" s="551"/>
      <c r="I99" s="551"/>
      <c r="J99" s="551"/>
      <c r="K99" s="551"/>
      <c r="L99" s="551"/>
      <c r="M99" s="551"/>
      <c r="N99" s="551"/>
      <c r="O99" s="551"/>
      <c r="P99" s="551"/>
      <c r="Q99" s="551"/>
      <c r="R99" s="551"/>
      <c r="S99" s="551"/>
      <c r="T99" s="551"/>
      <c r="U99" s="551"/>
      <c r="V99" s="551"/>
      <c r="W99" s="551"/>
      <c r="X99" s="551"/>
      <c r="Y99" s="551"/>
      <c r="Z99" s="551"/>
      <c r="AA99" s="551"/>
      <c r="AB99" s="551"/>
      <c r="AC99" s="551"/>
    </row>
    <row r="100" spans="1:29" ht="15.75" customHeight="1">
      <c r="A100" s="551"/>
      <c r="B100" s="556">
        <v>3001</v>
      </c>
      <c r="C100" s="565" t="s">
        <v>276</v>
      </c>
      <c r="D100" s="565"/>
      <c r="E100" s="565"/>
      <c r="F100" s="565"/>
      <c r="G100" s="566"/>
      <c r="H100" s="551"/>
      <c r="I100" s="551"/>
      <c r="J100" s="551"/>
      <c r="K100" s="551"/>
      <c r="L100" s="551"/>
      <c r="M100" s="551"/>
      <c r="N100" s="551"/>
      <c r="O100" s="551"/>
      <c r="P100" s="551"/>
      <c r="Q100" s="551"/>
      <c r="R100" s="551"/>
      <c r="S100" s="551"/>
      <c r="T100" s="551"/>
      <c r="U100" s="551"/>
      <c r="V100" s="551"/>
      <c r="W100" s="551"/>
      <c r="X100" s="551"/>
      <c r="Y100" s="551"/>
      <c r="Z100" s="551"/>
      <c r="AA100" s="551"/>
      <c r="AB100" s="551"/>
      <c r="AC100" s="551"/>
    </row>
    <row r="101" spans="1:29" ht="15.75" customHeight="1">
      <c r="A101" s="551"/>
      <c r="B101" s="553" t="s">
        <v>224</v>
      </c>
      <c r="C101" s="565"/>
      <c r="D101" s="565"/>
      <c r="E101" s="565"/>
      <c r="F101" s="565"/>
      <c r="G101" s="566"/>
      <c r="H101" s="551"/>
      <c r="I101" s="551"/>
      <c r="J101" s="551"/>
      <c r="K101" s="551"/>
      <c r="L101" s="551"/>
      <c r="M101" s="551"/>
      <c r="N101" s="551"/>
      <c r="O101" s="551"/>
      <c r="P101" s="551"/>
      <c r="Q101" s="551"/>
      <c r="R101" s="551"/>
      <c r="S101" s="551"/>
      <c r="T101" s="551"/>
      <c r="U101" s="551"/>
      <c r="V101" s="551"/>
      <c r="W101" s="551"/>
      <c r="X101" s="551"/>
      <c r="Y101" s="551"/>
      <c r="Z101" s="551"/>
      <c r="AA101" s="551"/>
      <c r="AB101" s="551"/>
      <c r="AC101" s="551"/>
    </row>
    <row r="102" spans="1:29" ht="15.75" customHeight="1">
      <c r="A102" s="551"/>
      <c r="B102" s="553" t="s">
        <v>148</v>
      </c>
      <c r="C102" s="590" t="s">
        <v>355</v>
      </c>
      <c r="D102" s="565"/>
      <c r="E102" s="565"/>
      <c r="F102" s="565"/>
      <c r="G102" s="566"/>
      <c r="H102" s="551"/>
      <c r="I102" s="551"/>
      <c r="J102" s="551"/>
      <c r="K102" s="551"/>
      <c r="L102" s="551"/>
      <c r="M102" s="551"/>
      <c r="N102" s="551"/>
      <c r="O102" s="551"/>
      <c r="P102" s="551"/>
      <c r="Q102" s="551"/>
      <c r="R102" s="551"/>
      <c r="S102" s="551"/>
      <c r="T102" s="551"/>
      <c r="U102" s="551"/>
      <c r="V102" s="551"/>
      <c r="W102" s="551"/>
      <c r="X102" s="551"/>
      <c r="Y102" s="551"/>
      <c r="Z102" s="551"/>
      <c r="AA102" s="551"/>
      <c r="AB102" s="551"/>
      <c r="AC102" s="551"/>
    </row>
    <row r="103" spans="1:29" ht="15.75" customHeight="1">
      <c r="A103" s="551"/>
      <c r="B103" s="553" t="s">
        <v>111</v>
      </c>
      <c r="C103" s="606" t="s">
        <v>356</v>
      </c>
      <c r="D103" s="567"/>
      <c r="E103" s="565"/>
      <c r="F103" s="565"/>
      <c r="G103" s="566"/>
      <c r="H103" s="551"/>
      <c r="I103" s="551"/>
      <c r="J103" s="551"/>
      <c r="K103" s="551"/>
      <c r="L103" s="551"/>
      <c r="M103" s="551"/>
      <c r="N103" s="551"/>
      <c r="O103" s="551"/>
      <c r="P103" s="551"/>
      <c r="Q103" s="551"/>
      <c r="R103" s="551"/>
      <c r="S103" s="551"/>
      <c r="T103" s="551"/>
      <c r="U103" s="551"/>
      <c r="V103" s="551"/>
      <c r="W103" s="551"/>
      <c r="X103" s="551"/>
      <c r="Y103" s="551"/>
      <c r="Z103" s="551"/>
      <c r="AA103" s="551"/>
      <c r="AB103" s="551"/>
      <c r="AC103" s="551"/>
    </row>
    <row r="104" spans="1:29" ht="15.75" customHeight="1">
      <c r="A104" s="551"/>
      <c r="B104" s="553" t="s">
        <v>167</v>
      </c>
      <c r="C104" s="606" t="s">
        <v>357</v>
      </c>
      <c r="D104" s="567"/>
      <c r="E104" s="565"/>
      <c r="F104" s="565"/>
      <c r="G104" s="566"/>
      <c r="H104" s="551"/>
      <c r="I104" s="551"/>
      <c r="J104" s="551"/>
      <c r="K104" s="551"/>
      <c r="L104" s="551"/>
      <c r="M104" s="551"/>
      <c r="N104" s="551"/>
      <c r="O104" s="551"/>
      <c r="P104" s="551"/>
      <c r="Q104" s="551"/>
      <c r="R104" s="551"/>
      <c r="S104" s="551"/>
      <c r="T104" s="551"/>
      <c r="U104" s="551"/>
      <c r="V104" s="551"/>
      <c r="W104" s="551"/>
      <c r="X104" s="551"/>
      <c r="Y104" s="551"/>
      <c r="Z104" s="551"/>
      <c r="AA104" s="551"/>
      <c r="AB104" s="551"/>
      <c r="AC104" s="551"/>
    </row>
    <row r="105" spans="1:29" ht="15.75" customHeight="1">
      <c r="A105" s="551"/>
      <c r="B105" s="553"/>
      <c r="C105" s="565"/>
      <c r="D105" s="568"/>
      <c r="E105" s="565"/>
      <c r="F105" s="591"/>
      <c r="G105" s="566"/>
      <c r="H105" s="551"/>
      <c r="I105" s="551"/>
      <c r="J105" s="551"/>
      <c r="K105" s="551"/>
      <c r="L105" s="551"/>
      <c r="M105" s="551"/>
      <c r="N105" s="551"/>
      <c r="O105" s="551"/>
      <c r="P105" s="551"/>
      <c r="Q105" s="551"/>
      <c r="R105" s="551"/>
      <c r="S105" s="551"/>
      <c r="T105" s="551"/>
      <c r="U105" s="551"/>
      <c r="V105" s="551"/>
      <c r="W105" s="551"/>
      <c r="X105" s="551"/>
      <c r="Y105" s="551"/>
      <c r="Z105" s="551"/>
      <c r="AA105" s="551"/>
      <c r="AB105" s="551"/>
      <c r="AC105" s="551"/>
    </row>
    <row r="106" spans="1:29" ht="15.75" customHeight="1">
      <c r="A106" s="551"/>
      <c r="B106" s="553" t="s">
        <v>116</v>
      </c>
      <c r="C106" s="565" t="s">
        <v>407</v>
      </c>
      <c r="D106" s="568" t="s">
        <v>276</v>
      </c>
      <c r="E106" s="565"/>
      <c r="F106" s="591"/>
      <c r="G106" s="566"/>
      <c r="H106" s="551"/>
      <c r="I106" s="551"/>
      <c r="J106" s="551"/>
      <c r="K106" s="551"/>
      <c r="L106" s="551"/>
      <c r="M106" s="551"/>
      <c r="N106" s="551"/>
      <c r="O106" s="551"/>
      <c r="P106" s="551"/>
      <c r="Q106" s="551"/>
      <c r="R106" s="551"/>
      <c r="S106" s="551"/>
      <c r="T106" s="551"/>
      <c r="U106" s="551"/>
      <c r="V106" s="551"/>
      <c r="W106" s="551"/>
      <c r="X106" s="551"/>
      <c r="Y106" s="551"/>
      <c r="Z106" s="551"/>
      <c r="AA106" s="551"/>
      <c r="AB106" s="551"/>
      <c r="AC106" s="551"/>
    </row>
    <row r="107" spans="1:29" ht="15.75" customHeight="1">
      <c r="A107" s="551"/>
      <c r="B107" s="553" t="s">
        <v>20</v>
      </c>
      <c r="C107" s="592" t="s">
        <v>277</v>
      </c>
      <c r="D107" s="567"/>
      <c r="E107" s="565"/>
      <c r="F107" s="565"/>
      <c r="G107" s="566"/>
      <c r="H107" s="551"/>
      <c r="I107" s="551"/>
      <c r="J107" s="551"/>
      <c r="K107" s="551"/>
      <c r="L107" s="551"/>
      <c r="M107" s="551"/>
      <c r="N107" s="551"/>
      <c r="O107" s="551"/>
      <c r="P107" s="551"/>
      <c r="Q107" s="551"/>
      <c r="R107" s="551"/>
      <c r="S107" s="551"/>
      <c r="T107" s="551"/>
      <c r="U107" s="551"/>
      <c r="V107" s="551"/>
      <c r="W107" s="551"/>
      <c r="X107" s="551"/>
      <c r="Y107" s="551"/>
      <c r="Z107" s="551"/>
      <c r="AA107" s="551"/>
      <c r="AB107" s="551"/>
      <c r="AC107" s="551"/>
    </row>
    <row r="108" spans="1:29" ht="15.75" customHeight="1">
      <c r="A108" s="551"/>
      <c r="B108" s="553" t="s">
        <v>21</v>
      </c>
      <c r="C108" s="593" t="s">
        <v>225</v>
      </c>
      <c r="D108" s="567"/>
      <c r="E108" s="565"/>
      <c r="F108" s="565"/>
      <c r="G108" s="566"/>
      <c r="H108" s="551"/>
      <c r="I108" s="551"/>
      <c r="J108" s="551"/>
      <c r="K108" s="551"/>
      <c r="L108" s="551"/>
      <c r="M108" s="551"/>
      <c r="N108" s="551"/>
      <c r="O108" s="551"/>
      <c r="P108" s="551"/>
      <c r="Q108" s="551"/>
      <c r="R108" s="551"/>
      <c r="S108" s="551"/>
      <c r="T108" s="551"/>
      <c r="U108" s="551"/>
      <c r="V108" s="551"/>
      <c r="W108" s="551"/>
      <c r="X108" s="551"/>
      <c r="Y108" s="551"/>
      <c r="Z108" s="551"/>
      <c r="AA108" s="551"/>
      <c r="AB108" s="551"/>
      <c r="AC108" s="551"/>
    </row>
    <row r="109" spans="1:29" ht="15.75" customHeight="1">
      <c r="A109" s="551"/>
      <c r="B109" s="589" t="s">
        <v>165</v>
      </c>
      <c r="C109" s="565"/>
      <c r="D109" s="594" t="s">
        <v>278</v>
      </c>
      <c r="E109" s="565"/>
      <c r="F109" s="565"/>
      <c r="G109" s="566"/>
      <c r="H109" s="551"/>
      <c r="I109" s="551"/>
      <c r="J109" s="551"/>
      <c r="K109" s="551"/>
      <c r="L109" s="551"/>
      <c r="M109" s="551"/>
      <c r="N109" s="551"/>
      <c r="O109" s="551"/>
      <c r="P109" s="551"/>
      <c r="Q109" s="551"/>
      <c r="R109" s="551"/>
      <c r="S109" s="551"/>
      <c r="T109" s="551"/>
      <c r="U109" s="551"/>
      <c r="V109" s="551"/>
      <c r="W109" s="551"/>
      <c r="X109" s="551"/>
      <c r="Y109" s="551"/>
      <c r="Z109" s="551"/>
      <c r="AA109" s="551"/>
      <c r="AB109" s="551"/>
      <c r="AC109" s="551"/>
    </row>
    <row r="110" spans="1:29" ht="15.75" customHeight="1">
      <c r="A110" s="551"/>
      <c r="B110" s="551"/>
      <c r="C110" s="551"/>
      <c r="D110" s="551"/>
      <c r="E110" s="551"/>
      <c r="F110" s="551"/>
      <c r="G110" s="551"/>
      <c r="H110" s="551"/>
      <c r="I110" s="551"/>
      <c r="J110" s="551"/>
      <c r="K110" s="551"/>
      <c r="L110" s="551"/>
      <c r="M110" s="551"/>
      <c r="N110" s="551"/>
      <c r="O110" s="551"/>
      <c r="P110" s="551"/>
      <c r="Q110" s="551"/>
      <c r="R110" s="551"/>
      <c r="S110" s="551"/>
      <c r="T110" s="551"/>
      <c r="U110" s="551"/>
      <c r="V110" s="551"/>
      <c r="W110" s="551"/>
      <c r="X110" s="551"/>
      <c r="Y110" s="551"/>
      <c r="Z110" s="551"/>
      <c r="AA110" s="551"/>
      <c r="AB110" s="551"/>
      <c r="AC110" s="551"/>
    </row>
    <row r="111" spans="1:29" ht="15.75" customHeight="1">
      <c r="A111" s="551"/>
      <c r="B111" s="551"/>
      <c r="C111" s="551"/>
      <c r="D111" s="551"/>
      <c r="E111" s="551"/>
      <c r="F111" s="551"/>
      <c r="G111" s="551"/>
      <c r="H111" s="551"/>
      <c r="I111" s="551"/>
      <c r="J111" s="551"/>
      <c r="K111" s="551"/>
      <c r="L111" s="551"/>
      <c r="M111" s="551"/>
      <c r="N111" s="551"/>
      <c r="O111" s="551"/>
      <c r="P111" s="551"/>
      <c r="Q111" s="551"/>
      <c r="R111" s="551"/>
      <c r="S111" s="551"/>
      <c r="T111" s="551"/>
      <c r="U111" s="551"/>
      <c r="V111" s="551"/>
      <c r="W111" s="551"/>
      <c r="X111" s="551"/>
      <c r="Y111" s="551"/>
      <c r="Z111" s="551"/>
      <c r="AA111" s="551"/>
      <c r="AB111" s="551"/>
      <c r="AC111" s="551"/>
    </row>
    <row r="112" spans="1:29" ht="15.75" customHeight="1">
      <c r="A112" s="551"/>
      <c r="B112" s="551"/>
      <c r="C112" s="551"/>
      <c r="D112" s="551"/>
      <c r="E112" s="551"/>
      <c r="F112" s="551"/>
      <c r="G112" s="551"/>
      <c r="H112" s="551"/>
      <c r="I112" s="551"/>
      <c r="J112" s="551"/>
      <c r="K112" s="551"/>
      <c r="L112" s="551"/>
      <c r="M112" s="551"/>
      <c r="N112" s="551"/>
      <c r="O112" s="551"/>
      <c r="P112" s="551"/>
      <c r="Q112" s="551"/>
      <c r="R112" s="551"/>
      <c r="S112" s="551"/>
      <c r="T112" s="551"/>
      <c r="U112" s="551"/>
      <c r="V112" s="551"/>
      <c r="W112" s="551"/>
      <c r="X112" s="551"/>
      <c r="Y112" s="551"/>
      <c r="Z112" s="551"/>
      <c r="AA112" s="551"/>
      <c r="AB112" s="551"/>
      <c r="AC112" s="551"/>
    </row>
    <row r="113" spans="1:29" ht="15.75" customHeight="1">
      <c r="A113" s="551"/>
      <c r="B113" s="551"/>
      <c r="C113" s="551"/>
      <c r="D113" s="551"/>
      <c r="E113" s="551"/>
      <c r="F113" s="551"/>
      <c r="G113" s="551"/>
      <c r="H113" s="551"/>
      <c r="I113" s="551"/>
      <c r="J113" s="551"/>
      <c r="K113" s="551"/>
      <c r="L113" s="551"/>
      <c r="M113" s="551"/>
      <c r="N113" s="551"/>
      <c r="O113" s="551"/>
      <c r="P113" s="551"/>
      <c r="Q113" s="551"/>
      <c r="R113" s="551"/>
      <c r="S113" s="551"/>
      <c r="T113" s="551"/>
      <c r="U113" s="551"/>
      <c r="V113" s="551"/>
      <c r="W113" s="551"/>
      <c r="X113" s="551"/>
      <c r="Y113" s="551"/>
      <c r="Z113" s="551"/>
      <c r="AA113" s="551"/>
      <c r="AB113" s="551"/>
      <c r="AC113" s="551"/>
    </row>
    <row r="114" spans="1:29" ht="15.75" customHeight="1">
      <c r="A114" s="551"/>
      <c r="B114" s="551"/>
      <c r="C114" s="551"/>
      <c r="D114" s="551"/>
      <c r="E114" s="551"/>
      <c r="F114" s="551"/>
      <c r="G114" s="551"/>
      <c r="H114" s="551"/>
      <c r="I114" s="551"/>
      <c r="J114" s="551"/>
      <c r="K114" s="551"/>
      <c r="L114" s="551"/>
      <c r="M114" s="551"/>
      <c r="N114" s="551"/>
      <c r="O114" s="551"/>
      <c r="P114" s="551"/>
      <c r="Q114" s="551"/>
      <c r="R114" s="551"/>
      <c r="S114" s="551"/>
      <c r="T114" s="551"/>
      <c r="U114" s="551"/>
      <c r="V114" s="551"/>
      <c r="W114" s="551"/>
      <c r="X114" s="551"/>
      <c r="Y114" s="551"/>
      <c r="Z114" s="551"/>
      <c r="AA114" s="551"/>
      <c r="AB114" s="551"/>
      <c r="AC114" s="551"/>
    </row>
    <row r="115" spans="1:29" ht="15.75" customHeight="1">
      <c r="A115" s="551"/>
      <c r="B115" s="551"/>
      <c r="C115" s="551"/>
      <c r="D115" s="551"/>
      <c r="E115" s="551"/>
      <c r="F115" s="551"/>
      <c r="G115" s="551"/>
      <c r="H115" s="551"/>
      <c r="I115" s="551"/>
      <c r="J115" s="551"/>
      <c r="K115" s="551"/>
      <c r="L115" s="551"/>
      <c r="M115" s="551"/>
      <c r="N115" s="551"/>
      <c r="O115" s="551"/>
      <c r="P115" s="551"/>
      <c r="Q115" s="551"/>
      <c r="R115" s="551"/>
      <c r="S115" s="551"/>
      <c r="T115" s="551"/>
      <c r="U115" s="551"/>
      <c r="V115" s="551"/>
      <c r="W115" s="551"/>
      <c r="X115" s="551"/>
      <c r="Y115" s="551"/>
      <c r="Z115" s="551"/>
      <c r="AA115" s="551"/>
      <c r="AB115" s="551"/>
      <c r="AC115" s="551"/>
    </row>
    <row r="116" spans="1:29" ht="15.75" customHeight="1">
      <c r="A116" s="551"/>
      <c r="B116" s="551"/>
      <c r="C116" s="551"/>
      <c r="D116" s="551"/>
      <c r="E116" s="551"/>
      <c r="F116" s="551"/>
      <c r="G116" s="551"/>
      <c r="H116" s="551"/>
      <c r="I116" s="551"/>
      <c r="J116" s="551"/>
      <c r="K116" s="551"/>
      <c r="L116" s="551"/>
      <c r="M116" s="551"/>
      <c r="N116" s="551"/>
      <c r="O116" s="551"/>
      <c r="P116" s="551"/>
      <c r="Q116" s="551"/>
      <c r="R116" s="551"/>
      <c r="S116" s="551"/>
      <c r="T116" s="551"/>
      <c r="U116" s="551"/>
      <c r="V116" s="551"/>
      <c r="W116" s="551"/>
      <c r="X116" s="551"/>
      <c r="Y116" s="551"/>
      <c r="Z116" s="551"/>
      <c r="AA116" s="551"/>
      <c r="AB116" s="551"/>
      <c r="AC116" s="551"/>
    </row>
    <row r="117" spans="1:29" ht="15.75" customHeight="1">
      <c r="A117" s="551"/>
      <c r="B117" s="551"/>
      <c r="C117" s="551"/>
      <c r="D117" s="551"/>
      <c r="E117" s="551"/>
      <c r="F117" s="551"/>
      <c r="G117" s="551"/>
      <c r="H117" s="551"/>
      <c r="I117" s="551"/>
      <c r="J117" s="551"/>
      <c r="K117" s="551"/>
      <c r="L117" s="551"/>
      <c r="M117" s="551"/>
      <c r="N117" s="551"/>
      <c r="O117" s="551"/>
      <c r="P117" s="551"/>
      <c r="Q117" s="551"/>
      <c r="R117" s="551"/>
      <c r="S117" s="551"/>
      <c r="T117" s="551"/>
      <c r="U117" s="551"/>
      <c r="V117" s="551"/>
      <c r="W117" s="551"/>
      <c r="X117" s="551"/>
      <c r="Y117" s="551"/>
      <c r="Z117" s="551"/>
      <c r="AA117" s="551"/>
      <c r="AB117" s="551"/>
      <c r="AC117" s="551"/>
    </row>
    <row r="118" spans="1:29" ht="15.75" customHeight="1">
      <c r="A118" s="551"/>
      <c r="B118" s="551"/>
      <c r="C118" s="551"/>
      <c r="D118" s="551"/>
      <c r="E118" s="551"/>
      <c r="F118" s="551"/>
      <c r="G118" s="551"/>
      <c r="H118" s="551"/>
      <c r="I118" s="551"/>
      <c r="J118" s="551"/>
      <c r="K118" s="551"/>
      <c r="L118" s="551"/>
      <c r="M118" s="551"/>
      <c r="N118" s="551"/>
      <c r="O118" s="551"/>
      <c r="P118" s="551"/>
      <c r="Q118" s="551"/>
      <c r="R118" s="551"/>
      <c r="S118" s="551"/>
      <c r="T118" s="551"/>
      <c r="U118" s="551"/>
      <c r="V118" s="551"/>
      <c r="W118" s="551"/>
      <c r="X118" s="551"/>
      <c r="Y118" s="551"/>
      <c r="Z118" s="551"/>
      <c r="AA118" s="551"/>
      <c r="AB118" s="551"/>
      <c r="AC118" s="551"/>
    </row>
    <row r="119" spans="1:29" ht="15.75" customHeight="1">
      <c r="A119" s="551"/>
      <c r="B119" s="551"/>
      <c r="C119" s="551"/>
      <c r="D119" s="551"/>
      <c r="E119" s="551"/>
      <c r="F119" s="551"/>
      <c r="G119" s="551"/>
      <c r="H119" s="551"/>
      <c r="I119" s="551"/>
      <c r="J119" s="551"/>
      <c r="K119" s="551"/>
      <c r="L119" s="551"/>
      <c r="M119" s="551"/>
      <c r="N119" s="551"/>
      <c r="O119" s="551"/>
      <c r="P119" s="551"/>
      <c r="Q119" s="551"/>
      <c r="R119" s="551"/>
      <c r="S119" s="551"/>
      <c r="T119" s="551"/>
      <c r="U119" s="551"/>
      <c r="V119" s="551"/>
      <c r="W119" s="551"/>
      <c r="X119" s="551"/>
      <c r="Y119" s="551"/>
      <c r="Z119" s="551"/>
      <c r="AA119" s="551"/>
      <c r="AB119" s="551"/>
      <c r="AC119" s="551"/>
    </row>
    <row r="120" spans="1:29" ht="15.75" customHeight="1">
      <c r="A120" s="551"/>
      <c r="B120" s="551"/>
      <c r="C120" s="551"/>
      <c r="D120" s="551"/>
      <c r="E120" s="551"/>
      <c r="F120" s="551"/>
      <c r="G120" s="551"/>
      <c r="H120" s="551"/>
      <c r="I120" s="551"/>
      <c r="J120" s="551"/>
      <c r="K120" s="551"/>
      <c r="L120" s="551"/>
      <c r="M120" s="551"/>
      <c r="N120" s="551"/>
      <c r="O120" s="551"/>
      <c r="P120" s="551"/>
      <c r="Q120" s="551"/>
      <c r="R120" s="551"/>
      <c r="S120" s="551"/>
      <c r="T120" s="551"/>
      <c r="U120" s="551"/>
      <c r="V120" s="551"/>
      <c r="W120" s="551"/>
      <c r="X120" s="551"/>
      <c r="Y120" s="551"/>
      <c r="Z120" s="551"/>
      <c r="AA120" s="551"/>
      <c r="AB120" s="551"/>
      <c r="AC120" s="551"/>
    </row>
    <row r="121" spans="1:29" ht="15.75" customHeight="1">
      <c r="A121" s="551"/>
      <c r="B121" s="551"/>
      <c r="C121" s="551"/>
      <c r="D121" s="551"/>
      <c r="E121" s="551"/>
      <c r="F121" s="551"/>
      <c r="G121" s="551"/>
      <c r="H121" s="551"/>
      <c r="I121" s="551"/>
      <c r="J121" s="551"/>
      <c r="K121" s="551"/>
      <c r="L121" s="551"/>
      <c r="M121" s="551"/>
      <c r="N121" s="551"/>
      <c r="O121" s="551"/>
      <c r="P121" s="551"/>
      <c r="Q121" s="551"/>
      <c r="R121" s="551"/>
      <c r="S121" s="551"/>
      <c r="T121" s="551"/>
      <c r="U121" s="551"/>
      <c r="V121" s="551"/>
      <c r="W121" s="551"/>
      <c r="X121" s="551"/>
      <c r="Y121" s="551"/>
      <c r="Z121" s="551"/>
      <c r="AA121" s="551"/>
      <c r="AB121" s="551"/>
      <c r="AC121" s="551"/>
    </row>
    <row r="122" spans="1:29" ht="15.75" customHeight="1">
      <c r="A122" s="551"/>
      <c r="B122" s="551"/>
      <c r="C122" s="551"/>
      <c r="D122" s="551"/>
      <c r="E122" s="551"/>
      <c r="F122" s="551"/>
      <c r="G122" s="551"/>
      <c r="H122" s="551"/>
      <c r="I122" s="551"/>
      <c r="J122" s="551"/>
      <c r="K122" s="551"/>
      <c r="L122" s="551"/>
      <c r="M122" s="551"/>
      <c r="N122" s="551"/>
      <c r="O122" s="551"/>
      <c r="P122" s="551"/>
      <c r="Q122" s="551"/>
      <c r="R122" s="551"/>
      <c r="S122" s="551"/>
      <c r="T122" s="551"/>
      <c r="U122" s="551"/>
      <c r="V122" s="551"/>
      <c r="W122" s="551"/>
      <c r="X122" s="551"/>
      <c r="Y122" s="551"/>
      <c r="Z122" s="551"/>
      <c r="AA122" s="551"/>
      <c r="AB122" s="551"/>
      <c r="AC122" s="551"/>
    </row>
    <row r="123" spans="1:29" ht="15.75" customHeight="1">
      <c r="A123" s="551"/>
      <c r="B123" s="551"/>
      <c r="C123" s="551"/>
      <c r="D123" s="551"/>
      <c r="E123" s="551"/>
      <c r="F123" s="551"/>
      <c r="G123" s="551"/>
      <c r="H123" s="551"/>
      <c r="I123" s="551"/>
      <c r="J123" s="551"/>
      <c r="K123" s="551"/>
      <c r="L123" s="551"/>
      <c r="M123" s="551"/>
      <c r="N123" s="551"/>
      <c r="O123" s="551"/>
      <c r="P123" s="551"/>
      <c r="Q123" s="551"/>
      <c r="R123" s="551"/>
      <c r="S123" s="551"/>
      <c r="T123" s="551"/>
      <c r="U123" s="551"/>
      <c r="V123" s="551"/>
      <c r="W123" s="551"/>
      <c r="X123" s="551"/>
      <c r="Y123" s="551"/>
      <c r="Z123" s="551"/>
      <c r="AA123" s="551"/>
      <c r="AB123" s="551"/>
      <c r="AC123" s="551"/>
    </row>
    <row r="124" spans="1:29" ht="15.75" customHeight="1">
      <c r="A124" s="551"/>
      <c r="B124" s="551"/>
      <c r="C124" s="551"/>
      <c r="D124" s="551"/>
      <c r="E124" s="551"/>
      <c r="F124" s="551"/>
      <c r="G124" s="551"/>
      <c r="H124" s="551"/>
      <c r="I124" s="551"/>
      <c r="J124" s="551"/>
      <c r="K124" s="551"/>
      <c r="L124" s="551"/>
      <c r="M124" s="551"/>
      <c r="N124" s="551"/>
      <c r="O124" s="551"/>
      <c r="P124" s="551"/>
      <c r="Q124" s="551"/>
      <c r="R124" s="551"/>
      <c r="S124" s="551"/>
      <c r="T124" s="551"/>
      <c r="U124" s="551"/>
      <c r="V124" s="551"/>
      <c r="W124" s="551"/>
      <c r="X124" s="551"/>
      <c r="Y124" s="551"/>
      <c r="Z124" s="551"/>
      <c r="AA124" s="551"/>
      <c r="AB124" s="551"/>
      <c r="AC124" s="551"/>
    </row>
    <row r="125" spans="1:29" ht="15.75" customHeight="1">
      <c r="A125" s="551"/>
      <c r="B125" s="551"/>
      <c r="C125" s="551"/>
      <c r="D125" s="551"/>
      <c r="E125" s="551"/>
      <c r="F125" s="551"/>
      <c r="G125" s="551"/>
      <c r="H125" s="551"/>
      <c r="I125" s="551"/>
      <c r="J125" s="551"/>
      <c r="K125" s="551"/>
      <c r="L125" s="551"/>
      <c r="M125" s="551"/>
      <c r="N125" s="551"/>
      <c r="O125" s="551"/>
      <c r="P125" s="551"/>
      <c r="Q125" s="551"/>
      <c r="R125" s="551"/>
      <c r="S125" s="551"/>
      <c r="T125" s="551"/>
      <c r="U125" s="551"/>
      <c r="V125" s="551"/>
      <c r="W125" s="551"/>
      <c r="X125" s="551"/>
      <c r="Y125" s="551"/>
      <c r="Z125" s="551"/>
      <c r="AA125" s="551"/>
      <c r="AB125" s="551"/>
      <c r="AC125" s="551"/>
    </row>
    <row r="126" spans="1:29" ht="15.75" customHeight="1">
      <c r="A126" s="551"/>
      <c r="B126" s="551"/>
      <c r="C126" s="551"/>
      <c r="D126" s="551"/>
      <c r="E126" s="551"/>
      <c r="F126" s="551"/>
      <c r="G126" s="551"/>
      <c r="H126" s="551"/>
      <c r="I126" s="551"/>
      <c r="J126" s="551"/>
      <c r="K126" s="551"/>
      <c r="L126" s="551"/>
      <c r="M126" s="551"/>
      <c r="N126" s="551"/>
      <c r="O126" s="551"/>
      <c r="P126" s="551"/>
      <c r="Q126" s="551"/>
      <c r="R126" s="551"/>
      <c r="S126" s="551"/>
      <c r="T126" s="551"/>
      <c r="U126" s="551"/>
      <c r="V126" s="551"/>
      <c r="W126" s="551"/>
      <c r="X126" s="551"/>
      <c r="Y126" s="551"/>
      <c r="Z126" s="551"/>
      <c r="AA126" s="551"/>
      <c r="AB126" s="551"/>
      <c r="AC126" s="551"/>
    </row>
    <row r="127" spans="1:29" ht="15.75" customHeight="1">
      <c r="A127" s="551"/>
      <c r="B127" s="551"/>
      <c r="C127" s="551"/>
      <c r="D127" s="551"/>
      <c r="E127" s="551"/>
      <c r="F127" s="551"/>
      <c r="G127" s="551"/>
      <c r="H127" s="551"/>
      <c r="I127" s="551"/>
      <c r="J127" s="551"/>
      <c r="K127" s="551"/>
      <c r="L127" s="551"/>
      <c r="M127" s="551"/>
      <c r="N127" s="551"/>
      <c r="O127" s="551"/>
      <c r="P127" s="551"/>
      <c r="Q127" s="551"/>
      <c r="R127" s="551"/>
      <c r="S127" s="551"/>
      <c r="T127" s="551"/>
      <c r="U127" s="551"/>
      <c r="V127" s="551"/>
      <c r="W127" s="551"/>
      <c r="X127" s="551"/>
      <c r="Y127" s="551"/>
      <c r="Z127" s="551"/>
      <c r="AA127" s="551"/>
      <c r="AB127" s="551"/>
      <c r="AC127" s="551"/>
    </row>
    <row r="128" spans="1:29" ht="15.75" customHeight="1">
      <c r="A128" s="551"/>
      <c r="B128" s="551"/>
      <c r="C128" s="551"/>
      <c r="D128" s="551"/>
      <c r="E128" s="551"/>
      <c r="F128" s="551"/>
      <c r="G128" s="551"/>
      <c r="H128" s="551"/>
      <c r="I128" s="551"/>
      <c r="J128" s="551"/>
      <c r="K128" s="551"/>
      <c r="L128" s="551"/>
      <c r="M128" s="551"/>
      <c r="N128" s="551"/>
      <c r="O128" s="551"/>
      <c r="P128" s="551"/>
      <c r="Q128" s="551"/>
      <c r="R128" s="551"/>
      <c r="S128" s="551"/>
      <c r="T128" s="551"/>
      <c r="U128" s="551"/>
      <c r="V128" s="551"/>
      <c r="W128" s="551"/>
      <c r="X128" s="551"/>
      <c r="Y128" s="551"/>
      <c r="Z128" s="551"/>
      <c r="AA128" s="551"/>
      <c r="AB128" s="551"/>
      <c r="AC128" s="551"/>
    </row>
    <row r="129" spans="1:29" ht="15.75" customHeight="1">
      <c r="A129" s="551"/>
      <c r="B129" s="551"/>
      <c r="C129" s="551"/>
      <c r="D129" s="551"/>
      <c r="E129" s="551"/>
      <c r="F129" s="551"/>
      <c r="G129" s="551"/>
      <c r="H129" s="551"/>
      <c r="I129" s="551"/>
      <c r="J129" s="551"/>
      <c r="K129" s="551"/>
      <c r="L129" s="551"/>
      <c r="M129" s="551"/>
      <c r="N129" s="551"/>
      <c r="O129" s="551"/>
      <c r="P129" s="551"/>
      <c r="Q129" s="551"/>
      <c r="R129" s="551"/>
      <c r="S129" s="551"/>
      <c r="T129" s="551"/>
      <c r="U129" s="551"/>
      <c r="V129" s="551"/>
      <c r="W129" s="551"/>
      <c r="X129" s="551"/>
      <c r="Y129" s="551"/>
      <c r="Z129" s="551"/>
      <c r="AA129" s="551"/>
      <c r="AB129" s="551"/>
      <c r="AC129" s="551"/>
    </row>
    <row r="130" spans="1:29" ht="15.75" customHeight="1">
      <c r="A130" s="551"/>
      <c r="B130" s="551"/>
      <c r="C130" s="551"/>
      <c r="D130" s="551"/>
      <c r="E130" s="551"/>
      <c r="F130" s="551"/>
      <c r="G130" s="551"/>
      <c r="H130" s="551"/>
      <c r="I130" s="551"/>
      <c r="J130" s="551"/>
      <c r="K130" s="551"/>
      <c r="L130" s="551"/>
      <c r="M130" s="551"/>
      <c r="N130" s="551"/>
      <c r="O130" s="551"/>
      <c r="P130" s="551"/>
      <c r="Q130" s="551"/>
      <c r="R130" s="551"/>
      <c r="S130" s="551"/>
      <c r="T130" s="551"/>
      <c r="U130" s="551"/>
      <c r="V130" s="551"/>
      <c r="W130" s="551"/>
      <c r="X130" s="551"/>
      <c r="Y130" s="551"/>
      <c r="Z130" s="551"/>
      <c r="AA130" s="551"/>
      <c r="AB130" s="551"/>
      <c r="AC130" s="551"/>
    </row>
    <row r="131" spans="1:29" ht="15.75" customHeight="1">
      <c r="A131" s="551"/>
      <c r="B131" s="551"/>
      <c r="C131" s="551"/>
      <c r="D131" s="551"/>
      <c r="E131" s="551"/>
      <c r="F131" s="551"/>
      <c r="G131" s="551"/>
      <c r="H131" s="551"/>
      <c r="I131" s="551"/>
      <c r="J131" s="551"/>
      <c r="K131" s="551"/>
      <c r="L131" s="551"/>
      <c r="M131" s="551"/>
      <c r="N131" s="551"/>
      <c r="O131" s="551"/>
      <c r="P131" s="551"/>
      <c r="Q131" s="551"/>
      <c r="R131" s="551"/>
      <c r="S131" s="551"/>
      <c r="T131" s="551"/>
      <c r="U131" s="551"/>
      <c r="V131" s="551"/>
      <c r="W131" s="551"/>
      <c r="X131" s="551"/>
      <c r="Y131" s="551"/>
      <c r="Z131" s="551"/>
      <c r="AA131" s="551"/>
      <c r="AB131" s="551"/>
      <c r="AC131" s="551"/>
    </row>
    <row r="132" spans="1:29" ht="15.75" customHeight="1">
      <c r="A132" s="551"/>
      <c r="B132" s="551"/>
      <c r="C132" s="551"/>
      <c r="D132" s="551"/>
      <c r="E132" s="551"/>
      <c r="F132" s="551"/>
      <c r="G132" s="551"/>
      <c r="H132" s="551"/>
      <c r="I132" s="551"/>
      <c r="J132" s="551"/>
      <c r="K132" s="551"/>
      <c r="L132" s="551"/>
      <c r="M132" s="551"/>
      <c r="N132" s="551"/>
      <c r="O132" s="551"/>
      <c r="P132" s="551"/>
      <c r="Q132" s="551"/>
      <c r="R132" s="551"/>
      <c r="S132" s="551"/>
      <c r="T132" s="551"/>
      <c r="U132" s="551"/>
      <c r="V132" s="551"/>
      <c r="W132" s="551"/>
      <c r="X132" s="551"/>
      <c r="Y132" s="551"/>
      <c r="Z132" s="551"/>
      <c r="AA132" s="551"/>
      <c r="AB132" s="551"/>
      <c r="AC132" s="551"/>
    </row>
    <row r="133" spans="1:29" ht="15.75" customHeight="1">
      <c r="A133" s="551"/>
      <c r="B133" s="551"/>
      <c r="C133" s="551"/>
      <c r="D133" s="551"/>
      <c r="E133" s="551"/>
      <c r="F133" s="551"/>
      <c r="G133" s="551"/>
      <c r="H133" s="551"/>
      <c r="I133" s="551"/>
      <c r="J133" s="551"/>
      <c r="K133" s="551"/>
      <c r="L133" s="551"/>
      <c r="M133" s="551"/>
      <c r="N133" s="551"/>
      <c r="O133" s="551"/>
      <c r="P133" s="551"/>
      <c r="Q133" s="551"/>
      <c r="R133" s="551"/>
      <c r="S133" s="551"/>
      <c r="T133" s="551"/>
      <c r="U133" s="551"/>
      <c r="V133" s="551"/>
      <c r="W133" s="551"/>
      <c r="X133" s="551"/>
      <c r="Y133" s="551"/>
      <c r="Z133" s="551"/>
      <c r="AA133" s="551"/>
      <c r="AB133" s="551"/>
      <c r="AC133" s="551"/>
    </row>
    <row r="134" spans="1:29" ht="15.75" customHeight="1">
      <c r="A134" s="551"/>
      <c r="B134" s="551"/>
      <c r="C134" s="551"/>
      <c r="D134" s="551"/>
      <c r="E134" s="551"/>
      <c r="F134" s="551"/>
      <c r="G134" s="551"/>
      <c r="H134" s="551"/>
      <c r="I134" s="551"/>
      <c r="J134" s="551"/>
      <c r="K134" s="551"/>
      <c r="L134" s="551"/>
      <c r="M134" s="551"/>
      <c r="N134" s="551"/>
      <c r="O134" s="551"/>
      <c r="P134" s="551"/>
      <c r="Q134" s="551"/>
      <c r="R134" s="551"/>
      <c r="S134" s="551"/>
      <c r="T134" s="551"/>
      <c r="U134" s="551"/>
      <c r="V134" s="551"/>
      <c r="W134" s="551"/>
      <c r="X134" s="551"/>
      <c r="Y134" s="551"/>
      <c r="Z134" s="551"/>
      <c r="AA134" s="551"/>
      <c r="AB134" s="551"/>
      <c r="AC134" s="551"/>
    </row>
    <row r="135" spans="1:29" ht="15.75" customHeight="1">
      <c r="A135" s="551"/>
      <c r="B135" s="551"/>
      <c r="C135" s="551"/>
      <c r="D135" s="551"/>
      <c r="E135" s="551"/>
      <c r="F135" s="551"/>
      <c r="G135" s="551"/>
      <c r="H135" s="551"/>
      <c r="I135" s="551"/>
      <c r="J135" s="551"/>
      <c r="K135" s="551"/>
      <c r="L135" s="551"/>
      <c r="M135" s="551"/>
      <c r="N135" s="551"/>
      <c r="O135" s="551"/>
      <c r="P135" s="551"/>
      <c r="Q135" s="551"/>
      <c r="R135" s="551"/>
      <c r="S135" s="551"/>
      <c r="T135" s="551"/>
      <c r="U135" s="551"/>
      <c r="V135" s="551"/>
      <c r="W135" s="551"/>
      <c r="X135" s="551"/>
      <c r="Y135" s="551"/>
      <c r="Z135" s="551"/>
      <c r="AA135" s="551"/>
      <c r="AB135" s="551"/>
      <c r="AC135" s="551"/>
    </row>
    <row r="136" spans="1:29" ht="15.75" customHeight="1">
      <c r="A136" s="551"/>
      <c r="B136" s="551"/>
      <c r="C136" s="551"/>
      <c r="D136" s="551"/>
      <c r="E136" s="551"/>
      <c r="F136" s="551"/>
      <c r="G136" s="551"/>
      <c r="H136" s="551"/>
      <c r="I136" s="551"/>
      <c r="J136" s="551"/>
      <c r="K136" s="551"/>
      <c r="L136" s="551"/>
      <c r="M136" s="551"/>
      <c r="N136" s="551"/>
      <c r="O136" s="551"/>
      <c r="P136" s="551"/>
      <c r="Q136" s="551"/>
      <c r="R136" s="551"/>
      <c r="S136" s="551"/>
      <c r="T136" s="551"/>
      <c r="U136" s="551"/>
      <c r="V136" s="551"/>
      <c r="W136" s="551"/>
      <c r="X136" s="551"/>
      <c r="Y136" s="551"/>
      <c r="Z136" s="551"/>
      <c r="AA136" s="551"/>
      <c r="AB136" s="551"/>
      <c r="AC136" s="551"/>
    </row>
    <row r="137" spans="1:29" ht="15.75" customHeight="1">
      <c r="A137" s="551"/>
      <c r="B137" s="551"/>
      <c r="C137" s="551"/>
      <c r="D137" s="551"/>
      <c r="E137" s="551"/>
      <c r="F137" s="551"/>
      <c r="G137" s="551"/>
      <c r="H137" s="551"/>
      <c r="I137" s="551"/>
      <c r="J137" s="551"/>
      <c r="K137" s="551"/>
      <c r="L137" s="551"/>
      <c r="M137" s="551"/>
      <c r="N137" s="551"/>
      <c r="O137" s="551"/>
      <c r="P137" s="551"/>
      <c r="Q137" s="551"/>
      <c r="R137" s="551"/>
      <c r="S137" s="551"/>
      <c r="T137" s="551"/>
      <c r="U137" s="551"/>
      <c r="V137" s="551"/>
      <c r="W137" s="551"/>
      <c r="X137" s="551"/>
      <c r="Y137" s="551"/>
      <c r="Z137" s="551"/>
      <c r="AA137" s="551"/>
      <c r="AB137" s="551"/>
      <c r="AC137" s="551"/>
    </row>
    <row r="138" spans="1:29" ht="15.75" customHeight="1">
      <c r="A138" s="551"/>
      <c r="B138" s="551"/>
      <c r="C138" s="551"/>
      <c r="D138" s="551"/>
      <c r="E138" s="551"/>
      <c r="F138" s="551"/>
      <c r="G138" s="551"/>
      <c r="H138" s="551"/>
      <c r="I138" s="551"/>
      <c r="J138" s="551"/>
      <c r="K138" s="551"/>
      <c r="L138" s="551"/>
      <c r="M138" s="551"/>
      <c r="N138" s="551"/>
      <c r="O138" s="551"/>
      <c r="P138" s="551"/>
      <c r="Q138" s="551"/>
      <c r="R138" s="551"/>
      <c r="S138" s="551"/>
      <c r="T138" s="551"/>
      <c r="U138" s="551"/>
      <c r="V138" s="551"/>
      <c r="W138" s="551"/>
      <c r="X138" s="551"/>
      <c r="Y138" s="551"/>
      <c r="Z138" s="551"/>
      <c r="AA138" s="551"/>
      <c r="AB138" s="551"/>
      <c r="AC138" s="551"/>
    </row>
    <row r="139" spans="1:29" ht="15.75" customHeight="1">
      <c r="A139" s="551"/>
      <c r="B139" s="551"/>
      <c r="C139" s="551"/>
      <c r="D139" s="551"/>
      <c r="E139" s="551"/>
      <c r="F139" s="551"/>
      <c r="G139" s="551"/>
      <c r="H139" s="551"/>
      <c r="I139" s="551"/>
      <c r="J139" s="551"/>
      <c r="K139" s="551"/>
      <c r="L139" s="551"/>
      <c r="M139" s="551"/>
      <c r="N139" s="551"/>
      <c r="O139" s="551"/>
      <c r="P139" s="551"/>
      <c r="Q139" s="551"/>
      <c r="R139" s="551"/>
      <c r="S139" s="551"/>
      <c r="T139" s="551"/>
      <c r="U139" s="551"/>
      <c r="V139" s="551"/>
      <c r="W139" s="551"/>
      <c r="X139" s="551"/>
      <c r="Y139" s="551"/>
      <c r="Z139" s="551"/>
      <c r="AA139" s="551"/>
      <c r="AB139" s="551"/>
      <c r="AC139" s="551"/>
    </row>
    <row r="140" spans="1:29" ht="15.75" customHeight="1">
      <c r="A140" s="551"/>
      <c r="B140" s="551"/>
      <c r="C140" s="551"/>
      <c r="D140" s="551"/>
      <c r="E140" s="551"/>
      <c r="F140" s="551"/>
      <c r="G140" s="551"/>
      <c r="H140" s="551"/>
      <c r="I140" s="551"/>
      <c r="J140" s="551"/>
      <c r="K140" s="551"/>
      <c r="L140" s="551"/>
      <c r="M140" s="551"/>
      <c r="N140" s="551"/>
      <c r="O140" s="551"/>
      <c r="P140" s="551"/>
      <c r="Q140" s="551"/>
      <c r="R140" s="551"/>
      <c r="S140" s="551"/>
      <c r="T140" s="551"/>
      <c r="U140" s="551"/>
      <c r="V140" s="551"/>
      <c r="W140" s="551"/>
      <c r="X140" s="551"/>
      <c r="Y140" s="551"/>
      <c r="Z140" s="551"/>
      <c r="AA140" s="551"/>
      <c r="AB140" s="551"/>
      <c r="AC140" s="551"/>
    </row>
    <row r="141" spans="1:29" ht="15.75" customHeight="1">
      <c r="A141" s="551"/>
      <c r="B141" s="551"/>
      <c r="C141" s="551"/>
      <c r="D141" s="551"/>
      <c r="E141" s="551"/>
      <c r="F141" s="551"/>
      <c r="G141" s="551"/>
      <c r="H141" s="551"/>
      <c r="I141" s="551"/>
      <c r="J141" s="551"/>
      <c r="K141" s="551"/>
      <c r="L141" s="551"/>
      <c r="M141" s="551"/>
      <c r="N141" s="551"/>
      <c r="O141" s="551"/>
      <c r="P141" s="551"/>
      <c r="Q141" s="551"/>
      <c r="R141" s="551"/>
      <c r="S141" s="551"/>
      <c r="T141" s="551"/>
      <c r="U141" s="551"/>
      <c r="V141" s="551"/>
      <c r="W141" s="551"/>
      <c r="X141" s="551"/>
      <c r="Y141" s="551"/>
      <c r="Z141" s="551"/>
      <c r="AA141" s="551"/>
      <c r="AB141" s="551"/>
      <c r="AC141" s="551"/>
    </row>
    <row r="142" spans="1:29" ht="15.75" customHeight="1">
      <c r="A142" s="551"/>
      <c r="B142" s="551"/>
      <c r="C142" s="551"/>
      <c r="D142" s="551"/>
      <c r="E142" s="551"/>
      <c r="F142" s="551"/>
      <c r="G142" s="551"/>
      <c r="H142" s="551"/>
      <c r="I142" s="551"/>
      <c r="J142" s="551"/>
      <c r="K142" s="551"/>
      <c r="L142" s="551"/>
      <c r="M142" s="551"/>
      <c r="N142" s="551"/>
      <c r="O142" s="551"/>
      <c r="P142" s="551"/>
      <c r="Q142" s="551"/>
      <c r="R142" s="551"/>
      <c r="S142" s="551"/>
      <c r="T142" s="551"/>
      <c r="U142" s="551"/>
      <c r="V142" s="551"/>
      <c r="W142" s="551"/>
      <c r="X142" s="551"/>
      <c r="Y142" s="551"/>
      <c r="Z142" s="551"/>
      <c r="AA142" s="551"/>
      <c r="AB142" s="551"/>
      <c r="AC142" s="551"/>
    </row>
    <row r="143" spans="1:29" ht="15.75" customHeight="1">
      <c r="A143" s="551"/>
      <c r="B143" s="551"/>
      <c r="C143" s="551"/>
      <c r="D143" s="551"/>
      <c r="E143" s="551"/>
      <c r="F143" s="551"/>
      <c r="G143" s="551"/>
      <c r="H143" s="551"/>
      <c r="I143" s="551"/>
      <c r="J143" s="551"/>
      <c r="K143" s="551"/>
      <c r="L143" s="551"/>
      <c r="M143" s="551"/>
      <c r="N143" s="551"/>
      <c r="O143" s="551"/>
      <c r="P143" s="551"/>
      <c r="Q143" s="551"/>
      <c r="R143" s="551"/>
      <c r="S143" s="551"/>
      <c r="T143" s="551"/>
      <c r="U143" s="551"/>
      <c r="V143" s="551"/>
      <c r="W143" s="551"/>
      <c r="X143" s="551"/>
      <c r="Y143" s="551"/>
      <c r="Z143" s="551"/>
      <c r="AA143" s="551"/>
      <c r="AB143" s="551"/>
      <c r="AC143" s="551"/>
    </row>
    <row r="144" spans="1:29" ht="15.75" customHeight="1">
      <c r="A144" s="551"/>
      <c r="B144" s="551"/>
      <c r="C144" s="551"/>
      <c r="D144" s="551"/>
      <c r="E144" s="551"/>
      <c r="F144" s="551"/>
      <c r="G144" s="551"/>
      <c r="H144" s="551"/>
      <c r="I144" s="551"/>
      <c r="J144" s="551"/>
      <c r="K144" s="551"/>
      <c r="L144" s="551"/>
      <c r="M144" s="551"/>
      <c r="N144" s="551"/>
      <c r="O144" s="551"/>
      <c r="P144" s="551"/>
      <c r="Q144" s="551"/>
      <c r="R144" s="551"/>
      <c r="S144" s="551"/>
      <c r="T144" s="551"/>
      <c r="U144" s="551"/>
      <c r="V144" s="551"/>
      <c r="W144" s="551"/>
      <c r="X144" s="551"/>
      <c r="Y144" s="551"/>
      <c r="Z144" s="551"/>
      <c r="AA144" s="551"/>
      <c r="AB144" s="551"/>
      <c r="AC144" s="551"/>
    </row>
    <row r="145" spans="1:29" ht="15.75" customHeight="1">
      <c r="A145" s="551"/>
      <c r="B145" s="595" t="s">
        <v>309</v>
      </c>
      <c r="C145" s="554"/>
      <c r="D145" s="596" t="str">
        <f>B3</f>
        <v>Crann Toys GmbH</v>
      </c>
      <c r="E145" s="596"/>
      <c r="F145" s="554"/>
      <c r="G145" s="554"/>
      <c r="H145" s="554"/>
      <c r="I145" s="554"/>
      <c r="J145" s="554"/>
      <c r="K145" s="551"/>
      <c r="L145" s="551"/>
      <c r="M145" s="551"/>
      <c r="N145" s="551"/>
      <c r="O145" s="551"/>
      <c r="P145" s="551"/>
      <c r="Q145" s="551"/>
      <c r="R145" s="551"/>
      <c r="S145" s="551"/>
      <c r="T145" s="551"/>
      <c r="U145" s="551"/>
      <c r="V145" s="551"/>
      <c r="W145" s="551"/>
      <c r="X145" s="551"/>
      <c r="Y145" s="551"/>
      <c r="Z145" s="551"/>
      <c r="AA145" s="551"/>
      <c r="AB145" s="551"/>
      <c r="AC145" s="551"/>
    </row>
    <row r="146" spans="1:29" ht="15.75" customHeight="1">
      <c r="A146" s="551"/>
      <c r="B146" s="597"/>
      <c r="C146" s="554"/>
      <c r="D146" s="554"/>
      <c r="E146" s="554"/>
      <c r="F146" s="554"/>
      <c r="G146" s="554"/>
      <c r="H146" s="554"/>
      <c r="I146" s="554"/>
      <c r="J146" s="554"/>
      <c r="K146" s="551"/>
      <c r="L146" s="551"/>
      <c r="M146" s="551"/>
      <c r="N146" s="551"/>
      <c r="O146" s="551"/>
      <c r="P146" s="551"/>
      <c r="Q146" s="551"/>
      <c r="R146" s="551"/>
      <c r="S146" s="551"/>
      <c r="T146" s="551"/>
      <c r="U146" s="551"/>
      <c r="V146" s="551"/>
      <c r="W146" s="551"/>
      <c r="X146" s="551"/>
      <c r="Y146" s="551"/>
      <c r="Z146" s="551"/>
      <c r="AA146" s="551"/>
      <c r="AB146" s="551"/>
      <c r="AC146" s="551"/>
    </row>
    <row r="147" spans="1:29" ht="15.75" customHeight="1">
      <c r="A147" s="551"/>
      <c r="B147" s="597"/>
      <c r="C147" s="554"/>
      <c r="D147" s="554"/>
      <c r="E147" s="554"/>
      <c r="F147" s="554"/>
      <c r="G147" s="554"/>
      <c r="H147" s="554"/>
      <c r="I147" s="554"/>
      <c r="J147" s="554"/>
      <c r="K147" s="551"/>
      <c r="L147" s="551"/>
      <c r="M147" s="551"/>
      <c r="N147" s="551"/>
      <c r="O147" s="551"/>
      <c r="P147" s="551"/>
      <c r="Q147" s="551"/>
      <c r="R147" s="551"/>
      <c r="S147" s="551"/>
      <c r="T147" s="551"/>
      <c r="U147" s="551"/>
      <c r="V147" s="551"/>
      <c r="W147" s="551"/>
      <c r="X147" s="551"/>
      <c r="Y147" s="551"/>
      <c r="Z147" s="551"/>
      <c r="AA147" s="551"/>
      <c r="AB147" s="551"/>
      <c r="AC147" s="551"/>
    </row>
    <row r="148" spans="1:29" ht="15.75" customHeight="1">
      <c r="A148" s="551"/>
      <c r="B148" s="597"/>
      <c r="C148" s="554" t="str">
        <f>D145</f>
        <v>Crann Toys GmbH</v>
      </c>
      <c r="D148" s="554" t="s">
        <v>301</v>
      </c>
      <c r="E148" s="554"/>
      <c r="F148" s="554"/>
      <c r="G148" s="554"/>
      <c r="H148" s="554"/>
      <c r="I148" s="554"/>
      <c r="J148" s="554"/>
      <c r="K148" s="551"/>
      <c r="L148" s="551"/>
      <c r="M148" s="551"/>
      <c r="N148" s="551"/>
      <c r="O148" s="551"/>
      <c r="P148" s="551"/>
      <c r="Q148" s="551"/>
      <c r="R148" s="551"/>
      <c r="S148" s="551"/>
      <c r="T148" s="551"/>
      <c r="U148" s="551"/>
      <c r="V148" s="551"/>
      <c r="W148" s="551"/>
      <c r="X148" s="551"/>
      <c r="Y148" s="551"/>
      <c r="Z148" s="551"/>
      <c r="AA148" s="551"/>
      <c r="AB148" s="551"/>
      <c r="AC148" s="551"/>
    </row>
    <row r="149" spans="1:29" ht="15.75" customHeight="1">
      <c r="A149" s="551"/>
      <c r="B149" s="597"/>
      <c r="C149" s="554" t="s">
        <v>302</v>
      </c>
      <c r="D149" s="554"/>
      <c r="E149" s="554"/>
      <c r="F149" s="554"/>
      <c r="G149" s="554"/>
      <c r="H149" s="554"/>
      <c r="I149" s="554"/>
      <c r="J149" s="554"/>
      <c r="K149" s="551"/>
      <c r="L149" s="551"/>
      <c r="M149" s="551"/>
      <c r="N149" s="551"/>
      <c r="O149" s="551"/>
      <c r="P149" s="551"/>
      <c r="Q149" s="551"/>
      <c r="R149" s="551"/>
      <c r="S149" s="551"/>
      <c r="T149" s="551"/>
      <c r="U149" s="551"/>
      <c r="V149" s="551"/>
      <c r="W149" s="551"/>
      <c r="X149" s="551"/>
      <c r="Y149" s="551"/>
      <c r="Z149" s="551"/>
      <c r="AA149" s="551"/>
      <c r="AB149" s="551"/>
      <c r="AC149" s="551"/>
    </row>
    <row r="150" spans="1:29" ht="15.75" customHeight="1">
      <c r="A150" s="551"/>
      <c r="B150" s="597"/>
      <c r="C150" s="554" t="s">
        <v>310</v>
      </c>
      <c r="D150" s="554"/>
      <c r="E150" s="554"/>
      <c r="F150" s="554"/>
      <c r="G150" s="554"/>
      <c r="H150" s="554"/>
      <c r="I150" s="554"/>
      <c r="J150" s="554"/>
      <c r="K150" s="551"/>
      <c r="L150" s="551"/>
      <c r="M150" s="551"/>
      <c r="N150" s="551"/>
      <c r="O150" s="551"/>
      <c r="P150" s="551"/>
      <c r="Q150" s="551"/>
      <c r="R150" s="551"/>
      <c r="S150" s="551"/>
      <c r="T150" s="551"/>
      <c r="U150" s="551"/>
      <c r="V150" s="551"/>
      <c r="W150" s="551"/>
      <c r="X150" s="551"/>
      <c r="Y150" s="551"/>
      <c r="Z150" s="551"/>
      <c r="AA150" s="551"/>
      <c r="AB150" s="551"/>
      <c r="AC150" s="551"/>
    </row>
    <row r="151" spans="1:29" ht="15.75" customHeight="1">
      <c r="A151" s="551"/>
      <c r="B151" s="597"/>
      <c r="C151" s="554" t="s">
        <v>303</v>
      </c>
      <c r="D151" s="554"/>
      <c r="E151" s="554"/>
      <c r="F151" s="554"/>
      <c r="G151" s="554"/>
      <c r="H151" s="554"/>
      <c r="I151" s="554"/>
      <c r="J151" s="554"/>
      <c r="K151" s="551"/>
      <c r="L151" s="551"/>
      <c r="M151" s="551"/>
      <c r="N151" s="551"/>
      <c r="O151" s="551"/>
      <c r="P151" s="551"/>
      <c r="Q151" s="551"/>
      <c r="R151" s="551"/>
      <c r="S151" s="551"/>
      <c r="T151" s="551"/>
      <c r="U151" s="551"/>
      <c r="V151" s="551"/>
      <c r="W151" s="551"/>
      <c r="X151" s="551"/>
      <c r="Y151" s="551"/>
      <c r="Z151" s="551"/>
      <c r="AA151" s="551"/>
      <c r="AB151" s="551"/>
      <c r="AC151" s="551"/>
    </row>
    <row r="152" spans="1:29" ht="15.75" customHeight="1">
      <c r="A152" s="551"/>
      <c r="B152" s="597"/>
      <c r="C152" s="554" t="s">
        <v>304</v>
      </c>
      <c r="D152" s="554"/>
      <c r="E152" s="554"/>
      <c r="F152" s="554"/>
      <c r="G152" s="554"/>
      <c r="H152" s="554"/>
      <c r="I152" s="554"/>
      <c r="J152" s="554"/>
      <c r="K152" s="551"/>
      <c r="L152" s="551"/>
      <c r="M152" s="551"/>
      <c r="N152" s="551"/>
      <c r="O152" s="551"/>
      <c r="P152" s="551"/>
      <c r="Q152" s="551"/>
      <c r="R152" s="551"/>
      <c r="S152" s="551"/>
      <c r="T152" s="551"/>
      <c r="U152" s="551"/>
      <c r="V152" s="551"/>
      <c r="W152" s="551"/>
      <c r="X152" s="551"/>
      <c r="Y152" s="551"/>
      <c r="Z152" s="551"/>
      <c r="AA152" s="551"/>
      <c r="AB152" s="551"/>
      <c r="AC152" s="551"/>
    </row>
    <row r="153" spans="1:29" ht="15.75" customHeight="1">
      <c r="A153" s="551"/>
      <c r="B153" s="597"/>
      <c r="C153" s="554" t="s">
        <v>305</v>
      </c>
      <c r="D153" s="554"/>
      <c r="E153" s="554"/>
      <c r="F153" s="554"/>
      <c r="G153" s="554"/>
      <c r="H153" s="554"/>
      <c r="I153" s="554"/>
      <c r="J153" s="554"/>
      <c r="K153" s="551"/>
      <c r="L153" s="551"/>
      <c r="M153" s="551"/>
      <c r="N153" s="551"/>
      <c r="O153" s="551"/>
      <c r="P153" s="551"/>
      <c r="Q153" s="551"/>
      <c r="R153" s="551"/>
      <c r="S153" s="551"/>
      <c r="T153" s="551"/>
      <c r="U153" s="551"/>
      <c r="V153" s="551"/>
      <c r="W153" s="551"/>
      <c r="X153" s="551"/>
      <c r="Y153" s="551"/>
      <c r="Z153" s="551"/>
      <c r="AA153" s="551"/>
      <c r="AB153" s="551"/>
      <c r="AC153" s="551"/>
    </row>
    <row r="154" spans="1:29" ht="15.75" customHeight="1">
      <c r="A154" s="551"/>
      <c r="B154" s="597"/>
      <c r="C154" s="553" t="s">
        <v>315</v>
      </c>
      <c r="D154" s="554" t="s">
        <v>311</v>
      </c>
      <c r="E154" s="554" t="s">
        <v>312</v>
      </c>
      <c r="F154" s="554"/>
      <c r="G154" s="554"/>
      <c r="H154" s="554" t="s">
        <v>313</v>
      </c>
      <c r="I154" s="554" t="s">
        <v>314</v>
      </c>
      <c r="J154" s="554"/>
      <c r="K154" s="551"/>
      <c r="L154" s="551"/>
      <c r="M154" s="551"/>
      <c r="N154" s="551"/>
      <c r="O154" s="551"/>
      <c r="P154" s="551"/>
      <c r="Q154" s="551"/>
      <c r="R154" s="551"/>
      <c r="S154" s="551"/>
      <c r="T154" s="551"/>
      <c r="U154" s="551"/>
      <c r="V154" s="551"/>
      <c r="W154" s="551"/>
      <c r="X154" s="551"/>
      <c r="Y154" s="551"/>
      <c r="Z154" s="551"/>
      <c r="AA154" s="551"/>
      <c r="AB154" s="551"/>
      <c r="AC154" s="551"/>
    </row>
    <row r="155" spans="1:29" ht="15.75" customHeight="1">
      <c r="A155" s="551"/>
      <c r="B155" s="597"/>
      <c r="C155" s="554" t="s">
        <v>306</v>
      </c>
      <c r="D155" s="554" t="str">
        <f>D154</f>
        <v>Ian Sutton</v>
      </c>
      <c r="E155" s="598">
        <v>0.7</v>
      </c>
      <c r="F155" s="554"/>
      <c r="G155" s="554"/>
      <c r="H155" s="554"/>
      <c r="I155" s="554"/>
      <c r="J155" s="554"/>
      <c r="K155" s="551"/>
      <c r="L155" s="551"/>
      <c r="M155" s="551"/>
      <c r="N155" s="551"/>
      <c r="O155" s="551"/>
      <c r="P155" s="551"/>
      <c r="Q155" s="551"/>
      <c r="R155" s="551"/>
      <c r="S155" s="551"/>
      <c r="T155" s="551"/>
      <c r="U155" s="551"/>
      <c r="V155" s="551"/>
      <c r="W155" s="551"/>
      <c r="X155" s="551"/>
      <c r="Y155" s="551"/>
      <c r="Z155" s="551"/>
      <c r="AA155" s="551"/>
      <c r="AB155" s="551"/>
      <c r="AC155" s="551"/>
    </row>
    <row r="156" spans="1:29" ht="15.75" customHeight="1">
      <c r="A156" s="551"/>
      <c r="B156" s="597"/>
      <c r="C156" s="554"/>
      <c r="D156" s="554" t="str">
        <f>H154</f>
        <v>Paula Sutton</v>
      </c>
      <c r="E156" s="598">
        <v>0.3</v>
      </c>
      <c r="F156" s="554"/>
      <c r="G156" s="554"/>
      <c r="H156" s="554"/>
      <c r="I156" s="554"/>
      <c r="J156" s="554"/>
      <c r="K156" s="551"/>
      <c r="L156" s="551"/>
      <c r="M156" s="551"/>
      <c r="N156" s="551"/>
      <c r="O156" s="551"/>
      <c r="P156" s="551"/>
      <c r="Q156" s="551"/>
      <c r="R156" s="551"/>
      <c r="S156" s="551"/>
      <c r="T156" s="551"/>
      <c r="U156" s="551"/>
      <c r="V156" s="551"/>
      <c r="W156" s="551"/>
      <c r="X156" s="551"/>
      <c r="Y156" s="551"/>
      <c r="Z156" s="551"/>
      <c r="AA156" s="551"/>
      <c r="AB156" s="551"/>
      <c r="AC156" s="551"/>
    </row>
    <row r="157" spans="1:29" ht="15.75" customHeight="1">
      <c r="A157" s="551"/>
      <c r="B157" s="597"/>
      <c r="C157" s="554"/>
      <c r="D157" s="554"/>
      <c r="E157" s="598"/>
      <c r="F157" s="554"/>
      <c r="G157" s="554"/>
      <c r="H157" s="554"/>
      <c r="I157" s="554"/>
      <c r="J157" s="554"/>
      <c r="K157" s="551"/>
      <c r="L157" s="551"/>
      <c r="M157" s="551"/>
      <c r="N157" s="551"/>
      <c r="O157" s="551"/>
      <c r="P157" s="551"/>
      <c r="Q157" s="551"/>
      <c r="R157" s="551"/>
      <c r="S157" s="551"/>
      <c r="T157" s="551"/>
      <c r="U157" s="551"/>
      <c r="V157" s="551"/>
      <c r="W157" s="551"/>
      <c r="X157" s="551"/>
      <c r="Y157" s="551"/>
      <c r="Z157" s="551"/>
      <c r="AA157" s="551"/>
      <c r="AB157" s="551"/>
      <c r="AC157" s="551"/>
    </row>
    <row r="158" spans="1:29" ht="15.75" customHeight="1">
      <c r="A158" s="551"/>
      <c r="B158" s="597"/>
      <c r="C158" s="554" t="s">
        <v>307</v>
      </c>
      <c r="D158" s="554"/>
      <c r="E158" s="598"/>
      <c r="F158" s="554"/>
      <c r="G158" s="554"/>
      <c r="H158" s="554"/>
      <c r="I158" s="554"/>
      <c r="J158" s="554"/>
      <c r="K158" s="551"/>
      <c r="L158" s="551"/>
      <c r="M158" s="551"/>
      <c r="N158" s="551"/>
      <c r="O158" s="551"/>
      <c r="P158" s="551"/>
      <c r="Q158" s="551"/>
      <c r="R158" s="551"/>
      <c r="S158" s="551"/>
      <c r="T158" s="551"/>
      <c r="U158" s="551"/>
      <c r="V158" s="551"/>
      <c r="W158" s="551"/>
      <c r="X158" s="551"/>
      <c r="Y158" s="551"/>
      <c r="Z158" s="551"/>
      <c r="AA158" s="551"/>
      <c r="AB158" s="551"/>
      <c r="AC158" s="551"/>
    </row>
    <row r="159" spans="1:29" ht="15.75" customHeight="1">
      <c r="A159" s="551"/>
      <c r="B159" s="597"/>
      <c r="C159" s="554" t="s">
        <v>308</v>
      </c>
      <c r="D159" s="554"/>
      <c r="E159" s="554"/>
      <c r="F159" s="554"/>
      <c r="G159" s="554"/>
      <c r="H159" s="554"/>
      <c r="I159" s="554"/>
      <c r="J159" s="554"/>
      <c r="K159" s="551"/>
      <c r="L159" s="551"/>
      <c r="M159" s="551"/>
      <c r="N159" s="551"/>
      <c r="O159" s="551"/>
      <c r="P159" s="551"/>
      <c r="Q159" s="551"/>
      <c r="R159" s="551"/>
      <c r="S159" s="551"/>
      <c r="T159" s="551"/>
      <c r="U159" s="551"/>
      <c r="V159" s="551"/>
      <c r="W159" s="551"/>
      <c r="X159" s="551"/>
      <c r="Y159" s="551"/>
      <c r="Z159" s="551"/>
      <c r="AA159" s="551"/>
      <c r="AB159" s="551"/>
      <c r="AC159" s="551"/>
    </row>
    <row r="160" spans="1:29" ht="15.75" customHeight="1">
      <c r="A160" s="551"/>
      <c r="B160" s="551"/>
      <c r="C160" s="551"/>
      <c r="D160" s="551"/>
      <c r="E160" s="551"/>
      <c r="F160" s="551"/>
      <c r="G160" s="551"/>
      <c r="H160" s="551"/>
      <c r="I160" s="551"/>
      <c r="J160" s="551"/>
      <c r="K160" s="551"/>
      <c r="L160" s="551"/>
      <c r="M160" s="551"/>
      <c r="N160" s="551"/>
      <c r="O160" s="551"/>
      <c r="P160" s="551"/>
      <c r="Q160" s="551"/>
      <c r="R160" s="551"/>
      <c r="S160" s="551"/>
      <c r="T160" s="551"/>
      <c r="U160" s="551"/>
      <c r="V160" s="551"/>
      <c r="W160" s="551"/>
      <c r="X160" s="551"/>
      <c r="Y160" s="551"/>
      <c r="Z160" s="551"/>
      <c r="AA160" s="551"/>
      <c r="AB160" s="551"/>
      <c r="AC160" s="551"/>
    </row>
    <row r="161" spans="1:29" ht="15.75" customHeight="1">
      <c r="A161" s="551"/>
      <c r="B161" s="596" t="s">
        <v>316</v>
      </c>
      <c r="C161" s="554"/>
      <c r="D161" s="554"/>
      <c r="E161" s="551"/>
      <c r="F161" s="551"/>
      <c r="G161" s="551"/>
      <c r="H161" s="551"/>
      <c r="I161" s="551"/>
      <c r="J161" s="551"/>
      <c r="K161" s="551"/>
      <c r="L161" s="551"/>
      <c r="M161" s="551"/>
      <c r="N161" s="551"/>
      <c r="O161" s="551"/>
      <c r="P161" s="551"/>
      <c r="Q161" s="551"/>
      <c r="R161" s="551"/>
      <c r="S161" s="551"/>
      <c r="T161" s="551"/>
      <c r="U161" s="551"/>
      <c r="V161" s="551"/>
      <c r="W161" s="551"/>
      <c r="X161" s="551"/>
      <c r="Y161" s="551"/>
      <c r="Z161" s="551"/>
      <c r="AA161" s="551"/>
      <c r="AB161" s="551"/>
      <c r="AC161" s="551"/>
    </row>
    <row r="162" spans="1:29" ht="15.75" customHeight="1">
      <c r="A162" s="551"/>
      <c r="B162" s="553" t="s">
        <v>317</v>
      </c>
      <c r="C162" s="554"/>
      <c r="D162" s="554"/>
      <c r="E162" s="551"/>
      <c r="F162" s="551"/>
      <c r="G162" s="551"/>
      <c r="H162" s="551"/>
      <c r="I162" s="551"/>
      <c r="J162" s="551"/>
      <c r="K162" s="551"/>
      <c r="L162" s="551"/>
      <c r="M162" s="551"/>
      <c r="N162" s="551"/>
      <c r="O162" s="551"/>
      <c r="P162" s="551"/>
      <c r="Q162" s="551"/>
      <c r="R162" s="551"/>
      <c r="S162" s="551"/>
      <c r="T162" s="551"/>
      <c r="U162" s="551"/>
      <c r="V162" s="551"/>
      <c r="W162" s="551"/>
      <c r="X162" s="551"/>
      <c r="Y162" s="551"/>
      <c r="Z162" s="551"/>
      <c r="AA162" s="551"/>
      <c r="AB162" s="551"/>
      <c r="AC162" s="551"/>
    </row>
    <row r="163" spans="1:29" ht="15.75" customHeight="1">
      <c r="A163" s="551"/>
      <c r="B163" s="553"/>
      <c r="C163" s="554"/>
      <c r="D163" s="554"/>
      <c r="E163" s="551"/>
      <c r="F163" s="551"/>
      <c r="G163" s="551"/>
      <c r="H163" s="551"/>
      <c r="I163" s="551"/>
      <c r="J163" s="551"/>
      <c r="K163" s="551"/>
      <c r="L163" s="551"/>
      <c r="M163" s="551"/>
      <c r="N163" s="551"/>
      <c r="O163" s="551"/>
      <c r="P163" s="551"/>
      <c r="Q163" s="551"/>
      <c r="R163" s="551"/>
      <c r="S163" s="551"/>
      <c r="T163" s="551"/>
      <c r="U163" s="551"/>
      <c r="V163" s="551"/>
      <c r="W163" s="551"/>
      <c r="X163" s="551"/>
      <c r="Y163" s="551"/>
      <c r="Z163" s="551"/>
      <c r="AA163" s="551"/>
      <c r="AB163" s="551"/>
      <c r="AC163" s="551"/>
    </row>
    <row r="164" spans="1:29" ht="15.75" customHeight="1">
      <c r="A164" s="551"/>
      <c r="B164" s="555" t="s">
        <v>341</v>
      </c>
      <c r="C164" s="554"/>
      <c r="D164" s="554"/>
      <c r="E164" s="551"/>
      <c r="F164" s="551"/>
      <c r="G164" s="551"/>
      <c r="H164" s="551"/>
      <c r="I164" s="551"/>
      <c r="J164" s="551"/>
      <c r="K164" s="551"/>
      <c r="L164" s="551"/>
      <c r="M164" s="551"/>
      <c r="N164" s="551"/>
      <c r="O164" s="551"/>
      <c r="P164" s="551"/>
      <c r="Q164" s="551"/>
      <c r="R164" s="551"/>
      <c r="S164" s="551"/>
      <c r="T164" s="551"/>
      <c r="U164" s="551"/>
      <c r="V164" s="551"/>
      <c r="W164" s="551"/>
      <c r="X164" s="551"/>
      <c r="Y164" s="551"/>
      <c r="Z164" s="551"/>
      <c r="AA164" s="551"/>
      <c r="AB164" s="551"/>
      <c r="AC164" s="551"/>
    </row>
    <row r="165" spans="1:29" ht="15.75" customHeight="1">
      <c r="A165" s="551"/>
      <c r="B165" s="555" t="s">
        <v>342</v>
      </c>
      <c r="C165" s="554"/>
      <c r="D165" s="554"/>
      <c r="E165" s="551"/>
      <c r="F165" s="551"/>
      <c r="G165" s="551"/>
      <c r="H165" s="551"/>
      <c r="I165" s="551"/>
      <c r="J165" s="551"/>
      <c r="K165" s="551"/>
      <c r="L165" s="551"/>
      <c r="M165" s="551"/>
      <c r="N165" s="551"/>
      <c r="O165" s="551"/>
      <c r="P165" s="551"/>
      <c r="Q165" s="551"/>
      <c r="R165" s="551"/>
      <c r="S165" s="551"/>
      <c r="T165" s="551"/>
      <c r="U165" s="551"/>
      <c r="V165" s="551"/>
      <c r="W165" s="551"/>
      <c r="X165" s="551"/>
      <c r="Y165" s="551"/>
      <c r="Z165" s="551"/>
      <c r="AA165" s="551"/>
      <c r="AB165" s="551"/>
      <c r="AC165" s="551"/>
    </row>
    <row r="166" spans="1:29" ht="15.75" customHeight="1">
      <c r="A166" s="551"/>
      <c r="B166" s="555" t="s">
        <v>343</v>
      </c>
      <c r="C166" s="554"/>
      <c r="D166" s="554"/>
      <c r="E166" s="551"/>
      <c r="F166" s="551"/>
      <c r="G166" s="551"/>
      <c r="H166" s="551"/>
      <c r="I166" s="551"/>
      <c r="J166" s="551"/>
      <c r="K166" s="551"/>
      <c r="L166" s="551"/>
      <c r="M166" s="551"/>
      <c r="N166" s="551"/>
      <c r="O166" s="551"/>
      <c r="P166" s="551"/>
      <c r="Q166" s="551"/>
      <c r="R166" s="551"/>
      <c r="S166" s="551"/>
      <c r="T166" s="551"/>
      <c r="U166" s="551"/>
      <c r="V166" s="551"/>
      <c r="W166" s="551"/>
      <c r="X166" s="551"/>
      <c r="Y166" s="551"/>
      <c r="Z166" s="551"/>
      <c r="AA166" s="551"/>
      <c r="AB166" s="551"/>
      <c r="AC166" s="551"/>
    </row>
    <row r="167" spans="1:29" ht="15.75" customHeight="1">
      <c r="A167" s="551"/>
      <c r="B167" s="555"/>
      <c r="C167" s="554"/>
      <c r="D167" s="554"/>
      <c r="E167" s="551"/>
      <c r="F167" s="551"/>
      <c r="G167" s="551"/>
      <c r="H167" s="551"/>
      <c r="I167" s="551"/>
      <c r="J167" s="551"/>
      <c r="K167" s="551"/>
      <c r="L167" s="551"/>
      <c r="M167" s="551"/>
      <c r="N167" s="551"/>
      <c r="O167" s="551"/>
      <c r="P167" s="551"/>
      <c r="Q167" s="551"/>
      <c r="R167" s="551"/>
      <c r="S167" s="551"/>
      <c r="T167" s="551"/>
      <c r="U167" s="551"/>
      <c r="V167" s="551"/>
      <c r="W167" s="551"/>
      <c r="X167" s="551"/>
      <c r="Y167" s="551"/>
      <c r="Z167" s="551"/>
      <c r="AA167" s="551"/>
      <c r="AB167" s="551"/>
      <c r="AC167" s="551"/>
    </row>
    <row r="168" spans="1:29" ht="15.75" customHeight="1">
      <c r="A168" s="551"/>
      <c r="B168" s="553" t="s">
        <v>338</v>
      </c>
      <c r="C168" s="554"/>
      <c r="D168" s="554"/>
      <c r="E168" s="551"/>
      <c r="F168" s="551"/>
      <c r="G168" s="551"/>
      <c r="H168" s="551"/>
      <c r="I168" s="551"/>
      <c r="J168" s="551"/>
      <c r="K168" s="551"/>
      <c r="L168" s="551"/>
      <c r="M168" s="551"/>
      <c r="N168" s="551"/>
      <c r="O168" s="551"/>
      <c r="P168" s="551"/>
      <c r="Q168" s="551"/>
      <c r="R168" s="551"/>
      <c r="S168" s="551"/>
      <c r="T168" s="551"/>
      <c r="U168" s="551"/>
      <c r="V168" s="551"/>
      <c r="W168" s="551"/>
      <c r="X168" s="551"/>
      <c r="Y168" s="551"/>
      <c r="Z168" s="551"/>
      <c r="AA168" s="551"/>
      <c r="AB168" s="551"/>
      <c r="AC168" s="551"/>
    </row>
    <row r="169" spans="1:29" ht="15.75" customHeight="1">
      <c r="A169" s="551"/>
      <c r="B169" s="555" t="s">
        <v>339</v>
      </c>
      <c r="C169" s="556">
        <v>348</v>
      </c>
      <c r="D169" s="554"/>
      <c r="E169" s="551"/>
      <c r="F169" s="551"/>
      <c r="G169" s="551"/>
      <c r="H169" s="551"/>
      <c r="I169" s="551"/>
      <c r="J169" s="551"/>
      <c r="K169" s="551"/>
      <c r="L169" s="551"/>
      <c r="M169" s="551"/>
      <c r="N169" s="551"/>
      <c r="O169" s="551"/>
      <c r="P169" s="551"/>
      <c r="Q169" s="551"/>
      <c r="R169" s="551"/>
      <c r="S169" s="551"/>
      <c r="T169" s="551"/>
      <c r="U169" s="551"/>
      <c r="V169" s="551"/>
      <c r="W169" s="551"/>
      <c r="X169" s="551"/>
      <c r="Y169" s="551"/>
      <c r="Z169" s="551"/>
      <c r="AA169" s="551"/>
      <c r="AB169" s="551"/>
      <c r="AC169" s="551"/>
    </row>
    <row r="170" spans="1:29">
      <c r="A170" s="551"/>
      <c r="B170" s="555" t="s">
        <v>249</v>
      </c>
      <c r="C170" s="552">
        <v>125</v>
      </c>
      <c r="D170" s="551"/>
      <c r="E170" s="551"/>
      <c r="F170" s="551"/>
      <c r="G170" s="551"/>
      <c r="H170" s="551"/>
      <c r="I170" s="551"/>
      <c r="J170" s="551"/>
      <c r="K170" s="551"/>
      <c r="L170" s="551"/>
      <c r="M170" s="551"/>
      <c r="N170" s="551"/>
      <c r="O170" s="551"/>
      <c r="P170" s="551"/>
      <c r="Q170" s="551"/>
      <c r="R170" s="551"/>
      <c r="S170" s="551"/>
      <c r="T170" s="551"/>
      <c r="U170" s="551"/>
      <c r="V170" s="551"/>
      <c r="W170" s="551"/>
      <c r="X170" s="551"/>
      <c r="Y170" s="551"/>
      <c r="Z170" s="551"/>
      <c r="AA170" s="551"/>
      <c r="AB170" s="551"/>
      <c r="AC170" s="551"/>
    </row>
    <row r="171" spans="1:29">
      <c r="A171" s="551"/>
      <c r="B171" s="555" t="s">
        <v>340</v>
      </c>
      <c r="C171" s="552">
        <v>65</v>
      </c>
      <c r="D171" s="551"/>
      <c r="E171" s="551"/>
      <c r="F171" s="551"/>
      <c r="G171" s="551"/>
      <c r="H171" s="551"/>
      <c r="I171" s="551"/>
      <c r="J171" s="551"/>
      <c r="K171" s="551"/>
      <c r="L171" s="551"/>
      <c r="M171" s="551"/>
      <c r="N171" s="551"/>
      <c r="O171" s="551"/>
      <c r="P171" s="551"/>
      <c r="Q171" s="551"/>
      <c r="R171" s="551"/>
      <c r="S171" s="551"/>
      <c r="T171" s="551"/>
      <c r="U171" s="551"/>
      <c r="V171" s="551"/>
      <c r="W171" s="551"/>
      <c r="X171" s="551"/>
      <c r="Y171" s="551"/>
      <c r="Z171" s="551"/>
      <c r="AA171" s="551"/>
      <c r="AB171" s="551"/>
      <c r="AC171" s="551"/>
    </row>
    <row r="172" spans="1:29" ht="15.75" customHeight="1">
      <c r="A172" s="551"/>
      <c r="B172" s="551"/>
      <c r="C172" s="551"/>
      <c r="D172" s="551"/>
      <c r="E172" s="551"/>
      <c r="F172" s="551"/>
      <c r="G172" s="551"/>
      <c r="H172" s="551"/>
      <c r="I172" s="551"/>
      <c r="J172" s="551"/>
      <c r="K172" s="551"/>
      <c r="L172" s="551"/>
      <c r="M172" s="551"/>
      <c r="N172" s="551"/>
      <c r="O172" s="551"/>
      <c r="P172" s="551"/>
      <c r="Q172" s="551"/>
      <c r="R172" s="551"/>
      <c r="S172" s="551"/>
      <c r="T172" s="551"/>
      <c r="U172" s="551"/>
      <c r="V172" s="551"/>
      <c r="W172" s="551"/>
      <c r="X172" s="551"/>
      <c r="Y172" s="551"/>
      <c r="Z172" s="551"/>
      <c r="AA172" s="551"/>
      <c r="AB172" s="551"/>
      <c r="AC172" s="551"/>
    </row>
    <row r="173" spans="1:29" ht="15.75" customHeight="1">
      <c r="A173" s="551"/>
      <c r="B173" s="596" t="s">
        <v>318</v>
      </c>
      <c r="C173" s="554"/>
      <c r="D173" s="554"/>
      <c r="E173" s="551"/>
      <c r="F173" s="551"/>
      <c r="G173" s="551"/>
      <c r="H173" s="551"/>
      <c r="I173" s="551"/>
      <c r="J173" s="551"/>
      <c r="K173" s="551"/>
      <c r="L173" s="551"/>
      <c r="M173" s="551"/>
      <c r="N173" s="551"/>
      <c r="O173" s="551"/>
      <c r="P173" s="551"/>
      <c r="Q173" s="551"/>
      <c r="R173" s="551"/>
      <c r="S173" s="551"/>
      <c r="T173" s="551"/>
      <c r="U173" s="551"/>
      <c r="V173" s="551"/>
      <c r="W173" s="551"/>
      <c r="X173" s="551"/>
      <c r="Y173" s="551"/>
      <c r="Z173" s="551"/>
      <c r="AA173" s="551"/>
      <c r="AB173" s="551"/>
      <c r="AC173" s="551"/>
    </row>
    <row r="174" spans="1:29" ht="15.75" customHeight="1">
      <c r="A174" s="551"/>
      <c r="B174" s="554"/>
      <c r="C174" s="554"/>
      <c r="D174" s="554"/>
      <c r="E174" s="551"/>
      <c r="F174" s="551"/>
      <c r="G174" s="551"/>
      <c r="H174" s="551"/>
      <c r="I174" s="551"/>
      <c r="J174" s="551"/>
      <c r="K174" s="551"/>
      <c r="L174" s="551"/>
      <c r="M174" s="551"/>
      <c r="N174" s="551"/>
      <c r="O174" s="551"/>
      <c r="P174" s="551"/>
      <c r="Q174" s="551"/>
      <c r="R174" s="551"/>
      <c r="S174" s="551"/>
      <c r="T174" s="551"/>
      <c r="U174" s="551"/>
      <c r="V174" s="551"/>
      <c r="W174" s="551"/>
      <c r="X174" s="551"/>
      <c r="Y174" s="551"/>
      <c r="Z174" s="551"/>
      <c r="AA174" s="551"/>
      <c r="AB174" s="551"/>
      <c r="AC174" s="551"/>
    </row>
    <row r="175" spans="1:29" ht="15.75" customHeight="1">
      <c r="A175" s="551"/>
      <c r="B175" s="599" t="s">
        <v>186</v>
      </c>
      <c r="C175" s="554"/>
      <c r="D175" s="554"/>
      <c r="E175" s="551"/>
      <c r="F175" s="551"/>
      <c r="G175" s="551"/>
      <c r="H175" s="551"/>
      <c r="I175" s="551"/>
      <c r="J175" s="551"/>
      <c r="K175" s="551"/>
      <c r="L175" s="551"/>
      <c r="M175" s="551"/>
      <c r="N175" s="551"/>
      <c r="O175" s="551"/>
      <c r="P175" s="551"/>
      <c r="Q175" s="551"/>
      <c r="R175" s="551"/>
      <c r="S175" s="551"/>
      <c r="T175" s="551"/>
      <c r="U175" s="551"/>
      <c r="V175" s="551"/>
      <c r="W175" s="551"/>
      <c r="X175" s="551"/>
      <c r="Y175" s="551"/>
      <c r="Z175" s="551"/>
      <c r="AA175" s="551"/>
      <c r="AB175" s="551"/>
      <c r="AC175" s="551"/>
    </row>
    <row r="176" spans="1:29" ht="15.75" customHeight="1">
      <c r="A176" s="551"/>
      <c r="B176" s="594"/>
      <c r="C176" s="554"/>
      <c r="D176" s="554"/>
      <c r="E176" s="551"/>
      <c r="F176" s="551"/>
      <c r="G176" s="551"/>
      <c r="H176" s="551"/>
      <c r="I176" s="551"/>
      <c r="J176" s="551"/>
      <c r="K176" s="551"/>
      <c r="L176" s="551"/>
      <c r="M176" s="551"/>
      <c r="N176" s="551"/>
      <c r="O176" s="551"/>
      <c r="P176" s="551"/>
      <c r="Q176" s="551"/>
      <c r="R176" s="551"/>
      <c r="S176" s="551"/>
      <c r="T176" s="551"/>
      <c r="U176" s="551"/>
      <c r="V176" s="551"/>
      <c r="W176" s="551"/>
      <c r="X176" s="551"/>
      <c r="Y176" s="551"/>
      <c r="Z176" s="551"/>
      <c r="AA176" s="551"/>
      <c r="AB176" s="551"/>
      <c r="AC176" s="551"/>
    </row>
    <row r="177" spans="1:29" ht="15.75" customHeight="1">
      <c r="A177" s="551"/>
      <c r="B177" s="594" t="s">
        <v>319</v>
      </c>
      <c r="C177" s="554"/>
      <c r="D177" s="554"/>
      <c r="E177" s="551"/>
      <c r="F177" s="551"/>
      <c r="G177" s="551"/>
      <c r="H177" s="551"/>
      <c r="I177" s="551"/>
      <c r="J177" s="551"/>
      <c r="K177" s="551"/>
      <c r="L177" s="551"/>
      <c r="M177" s="551"/>
      <c r="N177" s="551"/>
      <c r="O177" s="551"/>
      <c r="P177" s="551"/>
      <c r="Q177" s="551"/>
      <c r="R177" s="551"/>
      <c r="S177" s="551"/>
      <c r="T177" s="551"/>
      <c r="U177" s="551"/>
      <c r="V177" s="551"/>
      <c r="W177" s="551"/>
      <c r="X177" s="551"/>
      <c r="Y177" s="551"/>
      <c r="Z177" s="551"/>
      <c r="AA177" s="551"/>
      <c r="AB177" s="551"/>
      <c r="AC177" s="551"/>
    </row>
    <row r="178" spans="1:29" ht="15.75" customHeight="1">
      <c r="A178" s="551"/>
      <c r="B178" s="594" t="s">
        <v>320</v>
      </c>
      <c r="C178" s="600">
        <f>J2</f>
        <v>44926</v>
      </c>
      <c r="D178" s="554" t="s">
        <v>321</v>
      </c>
      <c r="E178" s="551"/>
      <c r="F178" s="551"/>
      <c r="G178" s="551"/>
      <c r="H178" s="551"/>
      <c r="I178" s="551"/>
      <c r="J178" s="551"/>
      <c r="K178" s="551"/>
      <c r="L178" s="551"/>
      <c r="M178" s="551"/>
      <c r="N178" s="551"/>
      <c r="O178" s="551"/>
      <c r="P178" s="551"/>
      <c r="Q178" s="551"/>
      <c r="R178" s="551"/>
      <c r="S178" s="551"/>
      <c r="T178" s="551"/>
      <c r="U178" s="551"/>
      <c r="V178" s="551"/>
      <c r="W178" s="551"/>
      <c r="X178" s="551"/>
      <c r="Y178" s="551"/>
      <c r="Z178" s="551"/>
      <c r="AA178" s="551"/>
      <c r="AB178" s="551"/>
      <c r="AC178" s="551"/>
    </row>
    <row r="179" spans="1:29">
      <c r="A179" s="551"/>
      <c r="B179" s="594"/>
      <c r="C179" s="554"/>
      <c r="D179" s="554"/>
      <c r="E179" s="551"/>
      <c r="F179" s="551"/>
      <c r="G179" s="551"/>
      <c r="H179" s="551"/>
      <c r="I179" s="551"/>
      <c r="J179" s="551"/>
      <c r="K179" s="551"/>
      <c r="L179" s="551"/>
      <c r="M179" s="551"/>
      <c r="N179" s="551"/>
      <c r="O179" s="551"/>
      <c r="P179" s="551"/>
      <c r="Q179" s="551"/>
      <c r="R179" s="551"/>
      <c r="S179" s="551"/>
      <c r="T179" s="551"/>
      <c r="U179" s="551"/>
      <c r="V179" s="551"/>
      <c r="W179" s="551"/>
      <c r="X179" s="551"/>
      <c r="Y179" s="551"/>
      <c r="Z179" s="551"/>
      <c r="AA179" s="551"/>
      <c r="AB179" s="551"/>
      <c r="AC179" s="551"/>
    </row>
    <row r="180" spans="1:29">
      <c r="A180" s="551"/>
      <c r="B180" s="599" t="s">
        <v>322</v>
      </c>
      <c r="C180" s="554"/>
      <c r="D180" s="554"/>
      <c r="E180" s="551"/>
      <c r="F180" s="551"/>
      <c r="G180" s="551"/>
      <c r="H180" s="551"/>
      <c r="I180" s="551"/>
      <c r="J180" s="551"/>
      <c r="K180" s="551"/>
      <c r="L180" s="551"/>
      <c r="M180" s="551"/>
      <c r="N180" s="551"/>
      <c r="O180" s="551"/>
      <c r="P180" s="551"/>
      <c r="Q180" s="551"/>
      <c r="R180" s="551"/>
      <c r="S180" s="551"/>
      <c r="T180" s="551"/>
      <c r="U180" s="551"/>
      <c r="V180" s="551"/>
      <c r="W180" s="551"/>
      <c r="X180" s="551"/>
      <c r="Y180" s="551"/>
      <c r="Z180" s="551"/>
      <c r="AA180" s="551"/>
      <c r="AB180" s="551"/>
      <c r="AC180" s="551"/>
    </row>
    <row r="181" spans="1:29">
      <c r="A181" s="551"/>
      <c r="B181" s="599"/>
      <c r="C181" s="554"/>
      <c r="D181" s="554"/>
      <c r="E181" s="551"/>
      <c r="F181" s="551"/>
      <c r="G181" s="551"/>
      <c r="H181" s="551"/>
      <c r="I181" s="551"/>
      <c r="J181" s="551"/>
      <c r="K181" s="551"/>
      <c r="L181" s="551"/>
      <c r="M181" s="551"/>
      <c r="N181" s="551"/>
      <c r="O181" s="551"/>
      <c r="P181" s="551"/>
      <c r="Q181" s="551"/>
      <c r="R181" s="551"/>
      <c r="S181" s="551"/>
      <c r="T181" s="551"/>
      <c r="U181" s="551"/>
      <c r="V181" s="551"/>
      <c r="W181" s="551"/>
      <c r="X181" s="551"/>
      <c r="Y181" s="551"/>
      <c r="Z181" s="551"/>
      <c r="AA181" s="551"/>
      <c r="AB181" s="551"/>
      <c r="AC181" s="551"/>
    </row>
    <row r="182" spans="1:29">
      <c r="A182" s="551"/>
      <c r="B182" s="599" t="s">
        <v>323</v>
      </c>
      <c r="C182" s="554"/>
      <c r="D182" s="554"/>
      <c r="E182" s="551"/>
      <c r="F182" s="551"/>
      <c r="G182" s="551"/>
      <c r="H182" s="551"/>
      <c r="I182" s="551"/>
      <c r="J182" s="551"/>
      <c r="K182" s="551"/>
      <c r="L182" s="551"/>
      <c r="M182" s="551"/>
      <c r="N182" s="551"/>
      <c r="O182" s="551"/>
      <c r="P182" s="551"/>
      <c r="Q182" s="551"/>
      <c r="R182" s="551"/>
      <c r="S182" s="551"/>
      <c r="T182" s="551"/>
      <c r="U182" s="551"/>
      <c r="V182" s="551"/>
      <c r="W182" s="551"/>
      <c r="X182" s="551"/>
      <c r="Y182" s="551"/>
      <c r="Z182" s="551"/>
      <c r="AA182" s="551"/>
      <c r="AB182" s="551"/>
      <c r="AC182" s="551"/>
    </row>
    <row r="183" spans="1:29">
      <c r="A183" s="551"/>
      <c r="B183" s="599"/>
      <c r="C183" s="554"/>
      <c r="D183" s="554"/>
      <c r="E183" s="551"/>
      <c r="F183" s="551"/>
      <c r="G183" s="551"/>
      <c r="H183" s="551"/>
      <c r="I183" s="551"/>
      <c r="J183" s="551"/>
      <c r="K183" s="551"/>
      <c r="L183" s="551"/>
      <c r="M183" s="551"/>
      <c r="N183" s="551"/>
      <c r="O183" s="551"/>
      <c r="P183" s="551"/>
      <c r="Q183" s="551"/>
      <c r="R183" s="551"/>
      <c r="S183" s="551"/>
      <c r="T183" s="551"/>
      <c r="U183" s="551"/>
      <c r="V183" s="551"/>
      <c r="W183" s="551"/>
      <c r="X183" s="551"/>
      <c r="Y183" s="551"/>
      <c r="Z183" s="551"/>
      <c r="AA183" s="551"/>
      <c r="AB183" s="551"/>
      <c r="AC183" s="551"/>
    </row>
    <row r="184" spans="1:29" ht="15.6">
      <c r="B184" s="364" t="s">
        <v>324</v>
      </c>
      <c r="C184" s="122"/>
      <c r="D184" s="122"/>
    </row>
    <row r="185" spans="1:29" ht="15.6">
      <c r="B185" s="364" t="s">
        <v>325</v>
      </c>
      <c r="C185" s="122"/>
      <c r="D185" s="122"/>
    </row>
    <row r="186" spans="1:29" ht="15.6">
      <c r="B186" s="364" t="s">
        <v>326</v>
      </c>
      <c r="C186" s="122"/>
      <c r="D186" s="122"/>
    </row>
    <row r="187" spans="1:29" ht="15.6">
      <c r="B187" s="364" t="s">
        <v>327</v>
      </c>
      <c r="C187" s="122"/>
      <c r="D187" s="122"/>
    </row>
    <row r="188" spans="1:29" ht="15.6">
      <c r="B188" s="364" t="s">
        <v>328</v>
      </c>
      <c r="C188" s="122"/>
      <c r="D188" s="122"/>
    </row>
    <row r="189" spans="1:29" ht="15.6">
      <c r="B189" s="364" t="s">
        <v>329</v>
      </c>
      <c r="C189" s="122"/>
      <c r="D189" s="122"/>
    </row>
    <row r="190" spans="1:29" ht="15.6">
      <c r="B190" s="364" t="s">
        <v>330</v>
      </c>
      <c r="C190" s="122"/>
      <c r="D190" s="122"/>
    </row>
    <row r="191" spans="1:29" ht="15.6">
      <c r="B191" s="364" t="s">
        <v>331</v>
      </c>
      <c r="C191" s="122"/>
      <c r="D191" s="122"/>
    </row>
    <row r="192" spans="1:29" ht="15.6">
      <c r="B192" s="364" t="s">
        <v>332</v>
      </c>
      <c r="C192" s="122"/>
      <c r="D192" s="122"/>
    </row>
    <row r="193" spans="2:4" ht="15.6">
      <c r="B193" s="364" t="s">
        <v>333</v>
      </c>
      <c r="C193" s="122"/>
      <c r="D193" s="122"/>
    </row>
    <row r="194" spans="2:4" ht="15.6">
      <c r="B194" s="364" t="s">
        <v>334</v>
      </c>
      <c r="C194" s="122"/>
      <c r="D194" s="122"/>
    </row>
    <row r="195" spans="2:4" ht="15.6">
      <c r="B195" s="364" t="s">
        <v>335</v>
      </c>
      <c r="C195" s="122"/>
      <c r="D195" s="122"/>
    </row>
    <row r="196" spans="2:4" ht="15.6">
      <c r="B196" s="364" t="s">
        <v>336</v>
      </c>
      <c r="C196" s="122"/>
      <c r="D196" s="122"/>
    </row>
    <row r="197" spans="2:4" ht="15.6">
      <c r="B197" s="364"/>
      <c r="C197" s="122"/>
      <c r="D197" s="122"/>
    </row>
  </sheetData>
  <mergeCells count="5">
    <mergeCell ref="M36:N36"/>
    <mergeCell ref="I63:J63"/>
    <mergeCell ref="K63:L63"/>
    <mergeCell ref="B36:C36"/>
    <mergeCell ref="D36:E36"/>
  </mergeCells>
  <phoneticPr fontId="1" type="noConversion"/>
  <hyperlinks>
    <hyperlink ref="B55" r:id="rId1" display="https://bb-sweden.se" xr:uid="{00000000-0004-0000-0000-000000000000}"/>
    <hyperlink ref="B74" r:id="rId2" xr:uid="{00000000-0004-0000-0000-000001000000}"/>
    <hyperlink ref="B87" r:id="rId3" xr:uid="{A0DBBBBE-504F-4FC3-88CB-3FB92CF68A95}"/>
    <hyperlink ref="C103" r:id="rId4" xr:uid="{5B1F0751-D061-4052-AD9E-B9DAFD375CAE}"/>
    <hyperlink ref="C104" r:id="rId5" xr:uid="{60A8B1B2-D248-41D9-8ED7-BD07832FE161}"/>
    <hyperlink ref="C54" r:id="rId6" xr:uid="{D36559AD-A7B6-4D0B-A0E9-8B90C936B6D9}"/>
    <hyperlink ref="C55" r:id="rId7" xr:uid="{4921DAF6-ECB6-4B40-A470-DCD51A776E11}"/>
    <hyperlink ref="C57" r:id="rId8" xr:uid="{005CB850-F39A-44E4-8921-C8A452F67466}"/>
    <hyperlink ref="C10" r:id="rId9" xr:uid="{97D68A12-3CF1-4887-96BC-960696B5B689}"/>
    <hyperlink ref="C11" r:id="rId10" xr:uid="{FE022816-1A48-404B-8E3D-0BA8CF61C412}"/>
  </hyperlinks>
  <pageMargins left="0.7" right="0.7" top="0.78740157499999996" bottom="0.78740157499999996" header="0.3" footer="0.3"/>
  <pageSetup paperSize="9" orientation="portrait" r:id="rId11"/>
  <drawing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90D6B-BF2E-4C18-92F2-60ED883619CE}">
  <dimension ref="B2:P29"/>
  <sheetViews>
    <sheetView showGridLines="0" topLeftCell="A4" workbookViewId="0">
      <selection activeCell="P29" sqref="B6:P29"/>
    </sheetView>
  </sheetViews>
  <sheetFormatPr defaultColWidth="11.5546875" defaultRowHeight="13.2"/>
  <cols>
    <col min="2" max="2" width="2.109375" customWidth="1"/>
    <col min="3" max="3" width="3.33203125" customWidth="1"/>
    <col min="4" max="4" width="16.5546875" customWidth="1"/>
    <col min="5" max="5" width="16.109375" customWidth="1"/>
    <col min="6" max="6" width="12" customWidth="1"/>
    <col min="7" max="7" width="4.109375" customWidth="1"/>
    <col min="8" max="8" width="15.88671875" bestFit="1" customWidth="1"/>
    <col min="9" max="9" width="3" customWidth="1"/>
    <col min="10" max="11" width="4.88671875" customWidth="1"/>
    <col min="12" max="12" width="6.6640625" customWidth="1"/>
    <col min="13" max="13" width="17.88671875" customWidth="1"/>
    <col min="14" max="14" width="3.88671875" customWidth="1"/>
    <col min="15" max="15" width="16.44140625" customWidth="1"/>
    <col min="16" max="16" width="4.33203125" customWidth="1"/>
  </cols>
  <sheetData>
    <row r="2" spans="2:16">
      <c r="B2" s="3" t="s">
        <v>119</v>
      </c>
    </row>
    <row r="4" spans="2:16">
      <c r="B4" s="3" t="s">
        <v>139</v>
      </c>
    </row>
    <row r="5" spans="2:16" ht="13.8" thickBot="1"/>
    <row r="6" spans="2:16">
      <c r="B6" s="123"/>
      <c r="C6" s="124"/>
      <c r="D6" s="124"/>
      <c r="E6" s="124"/>
      <c r="F6" s="124"/>
      <c r="G6" s="124"/>
      <c r="H6" s="124"/>
      <c r="I6" s="124"/>
      <c r="J6" s="124"/>
      <c r="K6" s="124"/>
      <c r="L6" s="124"/>
      <c r="M6" s="124"/>
      <c r="N6" s="124"/>
      <c r="O6" s="124"/>
      <c r="P6" s="125"/>
    </row>
    <row r="7" spans="2:16">
      <c r="B7" s="126"/>
      <c r="P7" s="127"/>
    </row>
    <row r="8" spans="2:16">
      <c r="B8" s="126"/>
      <c r="P8" s="127"/>
    </row>
    <row r="9" spans="2:16">
      <c r="B9" s="126"/>
      <c r="P9" s="127"/>
    </row>
    <row r="10" spans="2:16" ht="21">
      <c r="B10" s="126"/>
      <c r="C10" s="128" t="s">
        <v>120</v>
      </c>
      <c r="E10" s="129" t="s">
        <v>121</v>
      </c>
      <c r="H10" s="129" t="s">
        <v>122</v>
      </c>
      <c r="I10" s="129"/>
      <c r="J10" s="129"/>
      <c r="K10" s="129"/>
      <c r="L10" s="129"/>
      <c r="M10" s="129"/>
      <c r="P10" s="127"/>
    </row>
    <row r="11" spans="2:16">
      <c r="B11" s="126"/>
      <c r="P11" s="127"/>
    </row>
    <row r="12" spans="2:16" ht="15">
      <c r="B12" s="126"/>
      <c r="D12" s="34" t="s">
        <v>123</v>
      </c>
      <c r="E12" s="34" t="s">
        <v>124</v>
      </c>
      <c r="F12" s="34"/>
      <c r="G12" s="34"/>
      <c r="H12" s="34" t="s">
        <v>20</v>
      </c>
      <c r="I12" s="34"/>
      <c r="J12" s="34"/>
      <c r="K12" s="34"/>
      <c r="L12" s="34"/>
      <c r="M12" s="34" t="s">
        <v>125</v>
      </c>
      <c r="N12" s="34"/>
      <c r="O12" s="34" t="s">
        <v>126</v>
      </c>
      <c r="P12" s="127"/>
    </row>
    <row r="13" spans="2:16" ht="15">
      <c r="B13" s="126"/>
      <c r="D13" s="34" t="s">
        <v>127</v>
      </c>
      <c r="E13" s="34" t="str">
        <f>Information!$B$3</f>
        <v>Crann Toys GmbH</v>
      </c>
      <c r="F13" s="34"/>
      <c r="G13" s="34"/>
      <c r="H13" s="34" t="str">
        <f>Information!$C$19</f>
        <v>AT 99 3829 0003 7408 3921</v>
      </c>
      <c r="I13" s="34"/>
      <c r="J13" s="34"/>
      <c r="K13" s="34"/>
      <c r="L13" s="34"/>
      <c r="M13" s="655">
        <f>'Bank Statement-noInfo'!O16</f>
        <v>115365.25</v>
      </c>
      <c r="N13" s="34"/>
      <c r="O13" s="655">
        <f>M13-E19</f>
        <v>1004.4818081060657</v>
      </c>
      <c r="P13" s="130"/>
    </row>
    <row r="14" spans="2:16">
      <c r="B14" s="126"/>
      <c r="P14" s="127"/>
    </row>
    <row r="15" spans="2:16" ht="18">
      <c r="B15" s="126"/>
      <c r="C15" s="129" t="s">
        <v>128</v>
      </c>
      <c r="D15" s="129"/>
      <c r="P15" s="127"/>
    </row>
    <row r="16" spans="2:16">
      <c r="B16" s="126"/>
      <c r="P16" s="127"/>
    </row>
    <row r="17" spans="2:16" ht="15">
      <c r="B17" s="126"/>
      <c r="C17" s="34"/>
      <c r="D17" s="34" t="s">
        <v>129</v>
      </c>
      <c r="E17" s="34" t="str">
        <f>'PurchaseInvoice-correct'!J3</f>
        <v>István Molnár Kft.</v>
      </c>
      <c r="F17" s="34"/>
      <c r="G17" s="34"/>
      <c r="H17" s="34"/>
      <c r="I17" s="34"/>
      <c r="J17" s="34"/>
      <c r="K17" s="34"/>
      <c r="L17" s="34"/>
      <c r="M17" s="34"/>
      <c r="N17" s="34"/>
      <c r="O17" s="34"/>
      <c r="P17" s="127"/>
    </row>
    <row r="18" spans="2:16" ht="15">
      <c r="B18" s="126"/>
      <c r="C18" s="34"/>
      <c r="D18" s="34" t="s">
        <v>130</v>
      </c>
      <c r="E18" s="34" t="str">
        <f>'PurchaseInvoice-correct'!D55</f>
        <v xml:space="preserve">HU42 1093 0000 1690 0014 2347 </v>
      </c>
      <c r="F18" s="34"/>
      <c r="G18" s="34"/>
      <c r="H18" s="34" t="s">
        <v>131</v>
      </c>
      <c r="I18" s="34"/>
      <c r="J18" s="34" t="str">
        <f>'PurchaseInvoice-correct'!G55</f>
        <v>BACX CZ PP</v>
      </c>
      <c r="K18" s="34"/>
      <c r="L18" s="34"/>
      <c r="M18" s="34"/>
      <c r="N18" s="34"/>
      <c r="O18" s="34"/>
      <c r="P18" s="127"/>
    </row>
    <row r="19" spans="2:16" ht="15">
      <c r="B19" s="126"/>
      <c r="C19" s="34"/>
      <c r="D19" s="34" t="s">
        <v>132</v>
      </c>
      <c r="E19" s="285">
        <f>H24</f>
        <v>114360.76819189393</v>
      </c>
      <c r="F19" s="34"/>
      <c r="G19" s="34"/>
      <c r="H19" s="34" t="s">
        <v>133</v>
      </c>
      <c r="I19" s="34"/>
      <c r="J19" s="34" t="s">
        <v>22</v>
      </c>
      <c r="K19" s="34"/>
      <c r="L19" s="34"/>
      <c r="M19" s="34"/>
      <c r="N19" s="34"/>
      <c r="O19" s="34"/>
      <c r="P19" s="127"/>
    </row>
    <row r="20" spans="2:16" ht="15.6">
      <c r="B20" s="126"/>
      <c r="C20" s="34"/>
      <c r="D20" s="34" t="s">
        <v>134</v>
      </c>
      <c r="E20" s="656" t="str">
        <f>'PurchaseInvoice-correct'!J17</f>
        <v>Invoice number:</v>
      </c>
      <c r="F20" s="657">
        <f>'PurchaseInvoice-correct'!L17</f>
        <v>78</v>
      </c>
      <c r="G20" s="657" t="str">
        <f>'PurchaseInvoice-correct'!K28</f>
        <v>HUF</v>
      </c>
      <c r="H20" s="658">
        <f>'PurchaseInvoice-correct'!L44</f>
        <v>42925000</v>
      </c>
      <c r="I20" s="659" t="s">
        <v>201</v>
      </c>
      <c r="J20" s="660">
        <f>'PurchaseInvoice-correct'!C47</f>
        <v>0.03</v>
      </c>
      <c r="K20" s="661" t="s">
        <v>46</v>
      </c>
      <c r="L20" s="661" t="str">
        <f>G20</f>
        <v>HUF</v>
      </c>
      <c r="M20" s="658">
        <f>H20-(H20*J20)</f>
        <v>41637250</v>
      </c>
      <c r="N20" s="662" t="s">
        <v>35</v>
      </c>
      <c r="O20" s="663">
        <f>'PurchaseInvoice-correct'!W24</f>
        <v>364.1053</v>
      </c>
      <c r="P20" s="127"/>
    </row>
    <row r="21" spans="2:16" ht="15.6">
      <c r="B21" s="126"/>
      <c r="C21" s="34"/>
      <c r="D21" s="34"/>
      <c r="E21" s="664"/>
      <c r="F21" s="665"/>
      <c r="G21" s="665"/>
      <c r="H21" s="285"/>
      <c r="I21" s="285"/>
      <c r="J21" s="285"/>
      <c r="K21" s="285"/>
      <c r="L21" s="285"/>
      <c r="M21" s="285"/>
      <c r="N21" s="666"/>
      <c r="O21" s="667"/>
      <c r="P21" s="127"/>
    </row>
    <row r="22" spans="2:16" ht="15">
      <c r="B22" s="126"/>
      <c r="C22" s="34"/>
      <c r="D22" s="34"/>
      <c r="E22" s="664"/>
      <c r="F22" s="420"/>
      <c r="G22" s="420" t="str">
        <f>J19</f>
        <v>EUR</v>
      </c>
      <c r="H22" s="285">
        <f>M20/O20</f>
        <v>114354.96819189393</v>
      </c>
      <c r="I22" s="285"/>
      <c r="J22" s="285"/>
      <c r="K22" s="285"/>
      <c r="L22" s="285"/>
      <c r="M22" s="285"/>
      <c r="N22" s="34"/>
      <c r="O22" s="257"/>
      <c r="P22" s="127"/>
    </row>
    <row r="23" spans="2:16" ht="15">
      <c r="B23" s="126"/>
      <c r="C23" s="34"/>
      <c r="D23" s="34"/>
      <c r="E23" s="668" t="str">
        <f>'Bank Statement-noInfo'!D9</f>
        <v>Fees for currency exchange</v>
      </c>
      <c r="F23" s="420"/>
      <c r="G23" s="420"/>
      <c r="H23" s="299">
        <f>+'PurchaseInvoice-correct'!V26</f>
        <v>5.8</v>
      </c>
      <c r="I23" s="285"/>
      <c r="J23" s="285"/>
      <c r="K23" s="285"/>
      <c r="L23" s="285"/>
      <c r="M23" s="285"/>
      <c r="N23" s="34"/>
      <c r="O23" s="257"/>
      <c r="P23" s="127"/>
    </row>
    <row r="24" spans="2:16" ht="15">
      <c r="B24" s="126"/>
      <c r="C24" s="34"/>
      <c r="D24" s="34"/>
      <c r="E24" s="664" t="s">
        <v>162</v>
      </c>
      <c r="F24" s="420"/>
      <c r="G24" s="420"/>
      <c r="H24" s="285">
        <f>SUM(H22:H23)</f>
        <v>114360.76819189393</v>
      </c>
      <c r="I24" s="285"/>
      <c r="J24" s="285"/>
      <c r="K24" s="285"/>
      <c r="L24" s="285"/>
      <c r="M24" s="285"/>
      <c r="N24" s="34"/>
      <c r="O24" s="257"/>
      <c r="P24" s="127"/>
    </row>
    <row r="25" spans="2:16" ht="15">
      <c r="B25" s="126"/>
      <c r="C25" s="34"/>
      <c r="D25" s="34"/>
      <c r="E25" s="669"/>
      <c r="F25" s="670"/>
      <c r="G25" s="670"/>
      <c r="H25" s="624"/>
      <c r="I25" s="624"/>
      <c r="J25" s="624"/>
      <c r="K25" s="624"/>
      <c r="L25" s="624"/>
      <c r="M25" s="624"/>
      <c r="N25" s="624"/>
      <c r="O25" s="671"/>
      <c r="P25" s="127"/>
    </row>
    <row r="26" spans="2:16" ht="15">
      <c r="B26" s="126"/>
      <c r="C26" s="34"/>
      <c r="D26" s="34" t="s">
        <v>135</v>
      </c>
      <c r="E26" s="714">
        <f>'Bank Statement-noInfo'!C8</f>
        <v>44868</v>
      </c>
      <c r="F26" s="34"/>
      <c r="G26" s="34"/>
      <c r="H26" s="34"/>
      <c r="I26" s="34"/>
      <c r="J26" s="34"/>
      <c r="K26" s="34"/>
      <c r="L26" s="34"/>
      <c r="M26" s="34"/>
      <c r="N26" s="34"/>
      <c r="O26" s="34"/>
      <c r="P26" s="127"/>
    </row>
    <row r="27" spans="2:16" ht="15">
      <c r="B27" s="126"/>
      <c r="C27" s="34"/>
      <c r="D27" s="34" t="s">
        <v>136</v>
      </c>
      <c r="E27" s="34" t="str">
        <f>Information!B3</f>
        <v>Crann Toys GmbH</v>
      </c>
      <c r="F27" s="34"/>
      <c r="G27" s="34"/>
      <c r="H27" s="34"/>
      <c r="I27" s="34"/>
      <c r="J27" s="34"/>
      <c r="K27" s="34"/>
      <c r="L27" s="34"/>
      <c r="M27" s="34"/>
      <c r="N27" s="34"/>
      <c r="O27" s="34"/>
      <c r="P27" s="127"/>
    </row>
    <row r="28" spans="2:16">
      <c r="B28" s="126"/>
      <c r="P28" s="127"/>
    </row>
    <row r="29" spans="2:16" ht="13.8" thickBot="1">
      <c r="B29" s="132"/>
      <c r="C29" s="133"/>
      <c r="D29" s="133"/>
      <c r="E29" s="133"/>
      <c r="F29" s="133"/>
      <c r="G29" s="133"/>
      <c r="H29" s="133"/>
      <c r="I29" s="133"/>
      <c r="J29" s="133"/>
      <c r="K29" s="133"/>
      <c r="L29" s="133"/>
      <c r="M29" s="133"/>
      <c r="N29" s="133"/>
      <c r="O29" s="133"/>
      <c r="P29" s="134"/>
    </row>
  </sheetData>
  <pageMargins left="0.7" right="0.7" top="0.78740157499999996" bottom="0.78740157499999996" header="0.3" footer="0.3"/>
  <pageSetup paperSize="9" orientation="portrait" horizontalDpi="4294967293"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4C923-16E5-4A03-8E53-350AAE58179C}">
  <dimension ref="B2:K27"/>
  <sheetViews>
    <sheetView showGridLines="0" topLeftCell="A2" workbookViewId="0">
      <selection activeCell="K27" sqref="B6:K27"/>
    </sheetView>
  </sheetViews>
  <sheetFormatPr defaultColWidth="11.5546875" defaultRowHeight="13.2"/>
  <cols>
    <col min="2" max="2" width="2.109375" customWidth="1"/>
    <col min="3" max="3" width="3.33203125" customWidth="1"/>
    <col min="4" max="4" width="16.5546875" customWidth="1"/>
    <col min="5" max="5" width="16.109375" customWidth="1"/>
    <col min="6" max="6" width="12" customWidth="1"/>
    <col min="8" max="8" width="23.109375" customWidth="1"/>
    <col min="9" max="10" width="16.44140625" customWidth="1"/>
    <col min="11" max="11" width="4.33203125" customWidth="1"/>
  </cols>
  <sheetData>
    <row r="2" spans="2:11">
      <c r="B2" s="3" t="s">
        <v>119</v>
      </c>
    </row>
    <row r="4" spans="2:11">
      <c r="B4" s="3" t="s">
        <v>138</v>
      </c>
    </row>
    <row r="5" spans="2:11" ht="13.8" thickBot="1"/>
    <row r="6" spans="2:11">
      <c r="B6" s="123"/>
      <c r="C6" s="124"/>
      <c r="D6" s="124"/>
      <c r="E6" s="124"/>
      <c r="F6" s="124"/>
      <c r="G6" s="124"/>
      <c r="H6" s="124"/>
      <c r="I6" s="124"/>
      <c r="J6" s="124"/>
      <c r="K6" s="125"/>
    </row>
    <row r="7" spans="2:11">
      <c r="B7" s="126"/>
      <c r="K7" s="127"/>
    </row>
    <row r="8" spans="2:11">
      <c r="B8" s="126"/>
      <c r="K8" s="127"/>
    </row>
    <row r="9" spans="2:11">
      <c r="B9" s="126"/>
      <c r="K9" s="127"/>
    </row>
    <row r="10" spans="2:11" ht="21">
      <c r="B10" s="126"/>
      <c r="C10" s="128" t="s">
        <v>120</v>
      </c>
      <c r="E10" s="129" t="s">
        <v>121</v>
      </c>
      <c r="G10" s="129" t="s">
        <v>122</v>
      </c>
      <c r="K10" s="127"/>
    </row>
    <row r="11" spans="2:11">
      <c r="B11" s="126"/>
      <c r="K11" s="127"/>
    </row>
    <row r="12" spans="2:11" ht="15">
      <c r="B12" s="126"/>
      <c r="C12" s="34"/>
      <c r="D12" s="34" t="s">
        <v>123</v>
      </c>
      <c r="E12" s="34" t="s">
        <v>124</v>
      </c>
      <c r="F12" s="34"/>
      <c r="G12" s="34" t="s">
        <v>20</v>
      </c>
      <c r="H12" s="34"/>
      <c r="I12" s="34" t="s">
        <v>125</v>
      </c>
      <c r="J12" s="34" t="s">
        <v>126</v>
      </c>
      <c r="K12" s="127"/>
    </row>
    <row r="13" spans="2:11" ht="15">
      <c r="B13" s="126"/>
      <c r="C13" s="34"/>
      <c r="D13" s="34" t="s">
        <v>127</v>
      </c>
      <c r="E13" s="34" t="str">
        <f>Information!$B$3</f>
        <v>Crann Toys GmbH</v>
      </c>
      <c r="F13" s="34"/>
      <c r="G13" s="34" t="str">
        <f>Information!$C$19</f>
        <v>AT 99 3829 0003 7408 3921</v>
      </c>
      <c r="H13" s="34"/>
      <c r="I13" s="655">
        <f>'Bank Statement-noInfo'!O16+'Bank Statement-noInfo'!O8+'Bank Statement-noInfo'!O9+'Bank Statement-noInfo'!O10+'Bank Statement-noInfo'!O11+'Bank Statement-noInfo'!H12</f>
        <v>-641.84486224180478</v>
      </c>
      <c r="J13" s="655">
        <f>I13-E19</f>
        <v>-1351.8448622418048</v>
      </c>
      <c r="K13" s="130"/>
    </row>
    <row r="14" spans="2:11" ht="15">
      <c r="B14" s="126"/>
      <c r="C14" s="34"/>
      <c r="D14" s="34"/>
      <c r="E14" s="34"/>
      <c r="F14" s="34"/>
      <c r="G14" s="34"/>
      <c r="H14" s="34"/>
      <c r="I14" s="34"/>
      <c r="J14" s="34"/>
      <c r="K14" s="127"/>
    </row>
    <row r="15" spans="2:11" ht="18">
      <c r="B15" s="126"/>
      <c r="C15" s="129" t="s">
        <v>128</v>
      </c>
      <c r="D15" s="129"/>
      <c r="K15" s="127"/>
    </row>
    <row r="16" spans="2:11">
      <c r="B16" s="126"/>
      <c r="K16" s="127"/>
    </row>
    <row r="17" spans="2:11" ht="15">
      <c r="B17" s="126"/>
      <c r="C17" s="34"/>
      <c r="D17" s="34" t="s">
        <v>129</v>
      </c>
      <c r="E17" s="34" t="str">
        <f>Information!$B$81</f>
        <v>WIT Transport GmbH</v>
      </c>
      <c r="F17" s="34"/>
      <c r="G17" s="34"/>
      <c r="H17" s="34"/>
      <c r="I17" s="34"/>
      <c r="J17" s="34"/>
      <c r="K17" s="672"/>
    </row>
    <row r="18" spans="2:11" ht="15">
      <c r="B18" s="126"/>
      <c r="C18" s="34"/>
      <c r="D18" s="34" t="s">
        <v>130</v>
      </c>
      <c r="E18" s="673" t="str">
        <f>'Transport CostsSale'!D38</f>
        <v xml:space="preserve"> AT401965000237895219</v>
      </c>
      <c r="F18" s="34"/>
      <c r="G18" s="34" t="s">
        <v>131</v>
      </c>
      <c r="H18" s="673" t="str">
        <f>'Transport CostsSale'!G38</f>
        <v>ESBKATWW</v>
      </c>
      <c r="I18" s="34"/>
      <c r="J18" s="34"/>
      <c r="K18" s="672"/>
    </row>
    <row r="19" spans="2:11" ht="15">
      <c r="B19" s="126"/>
      <c r="C19" s="34"/>
      <c r="D19" s="34" t="s">
        <v>132</v>
      </c>
      <c r="E19" s="285">
        <f>'Transport CostsSale'!M34</f>
        <v>710</v>
      </c>
      <c r="F19" s="34"/>
      <c r="G19" s="34" t="s">
        <v>133</v>
      </c>
      <c r="H19" s="34" t="s">
        <v>22</v>
      </c>
      <c r="I19" s="34"/>
      <c r="J19" s="34"/>
      <c r="K19" s="672"/>
    </row>
    <row r="20" spans="2:11" ht="15">
      <c r="B20" s="126"/>
      <c r="C20" s="34"/>
      <c r="D20" s="34" t="s">
        <v>134</v>
      </c>
      <c r="E20" s="674" t="str">
        <f>'Transport CostsSale'!B2</f>
        <v>Transport costs</v>
      </c>
      <c r="F20" s="675"/>
      <c r="G20" s="676"/>
      <c r="H20" s="676"/>
      <c r="I20" s="676"/>
      <c r="J20" s="677"/>
      <c r="K20" s="672"/>
    </row>
    <row r="21" spans="2:11" ht="15">
      <c r="B21" s="126"/>
      <c r="C21" s="34"/>
      <c r="D21" s="34"/>
      <c r="E21" s="678" t="str">
        <f>'Transport CostsSale'!C12</f>
        <v>Invoice Number:</v>
      </c>
      <c r="F21" s="420">
        <f>'Transport CostsSale'!F12</f>
        <v>281</v>
      </c>
      <c r="G21" s="34"/>
      <c r="H21" s="34"/>
      <c r="I21" s="34"/>
      <c r="J21" s="679"/>
      <c r="K21" s="672"/>
    </row>
    <row r="22" spans="2:11" ht="15">
      <c r="B22" s="126"/>
      <c r="C22" s="34"/>
      <c r="D22" s="34"/>
      <c r="E22" s="678"/>
      <c r="F22" s="420"/>
      <c r="G22" s="34"/>
      <c r="H22" s="34"/>
      <c r="I22" s="34"/>
      <c r="J22" s="679"/>
      <c r="K22" s="672"/>
    </row>
    <row r="23" spans="2:11" ht="15">
      <c r="B23" s="126"/>
      <c r="C23" s="34"/>
      <c r="D23" s="34"/>
      <c r="E23" s="678"/>
      <c r="F23" s="420"/>
      <c r="G23" s="34"/>
      <c r="H23" s="34"/>
      <c r="I23" s="34"/>
      <c r="J23" s="679"/>
      <c r="K23" s="672"/>
    </row>
    <row r="24" spans="2:11" ht="15">
      <c r="B24" s="126"/>
      <c r="C24" s="34"/>
      <c r="D24" s="34"/>
      <c r="E24" s="680"/>
      <c r="F24" s="681"/>
      <c r="G24" s="682"/>
      <c r="H24" s="682"/>
      <c r="I24" s="682"/>
      <c r="J24" s="683"/>
      <c r="K24" s="672"/>
    </row>
    <row r="25" spans="2:11" ht="15">
      <c r="B25" s="126"/>
      <c r="C25" s="34"/>
      <c r="D25" s="34" t="s">
        <v>135</v>
      </c>
      <c r="E25" s="714">
        <f>'Bank Statement-noInfo'!C13</f>
        <v>44873</v>
      </c>
      <c r="F25" s="34"/>
      <c r="G25" s="34"/>
      <c r="H25" s="34"/>
      <c r="I25" s="34"/>
      <c r="J25" s="34"/>
      <c r="K25" s="672"/>
    </row>
    <row r="26" spans="2:11" ht="15">
      <c r="B26" s="126"/>
      <c r="C26" s="34"/>
      <c r="D26" s="34" t="s">
        <v>136</v>
      </c>
      <c r="E26" s="34" t="str">
        <f>Information!B3</f>
        <v>Crann Toys GmbH</v>
      </c>
      <c r="F26" s="34"/>
      <c r="G26" s="34"/>
      <c r="H26" s="34"/>
      <c r="I26" s="34"/>
      <c r="J26" s="34"/>
      <c r="K26" s="672"/>
    </row>
    <row r="27" spans="2:11" ht="13.8" thickBot="1">
      <c r="B27" s="132"/>
      <c r="C27" s="133"/>
      <c r="D27" s="133"/>
      <c r="E27" s="133"/>
      <c r="F27" s="133"/>
      <c r="G27" s="133"/>
      <c r="H27" s="133"/>
      <c r="I27" s="133"/>
      <c r="J27" s="133"/>
      <c r="K27" s="134"/>
    </row>
  </sheetData>
  <pageMargins left="0.7" right="0.7" top="0.78740157499999996" bottom="0.78740157499999996"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K27"/>
  <sheetViews>
    <sheetView showGridLines="0" workbookViewId="0">
      <selection activeCell="N14" sqref="N14"/>
    </sheetView>
  </sheetViews>
  <sheetFormatPr defaultColWidth="11.5546875" defaultRowHeight="13.2"/>
  <cols>
    <col min="2" max="2" width="2.109375" customWidth="1"/>
    <col min="3" max="3" width="3.33203125" customWidth="1"/>
    <col min="4" max="4" width="16.5546875" customWidth="1"/>
    <col min="5" max="5" width="16.109375" customWidth="1"/>
    <col min="6" max="6" width="12" customWidth="1"/>
    <col min="8" max="8" width="23.44140625" customWidth="1"/>
    <col min="9" max="10" width="16.44140625" customWidth="1"/>
    <col min="11" max="11" width="4.33203125" customWidth="1"/>
  </cols>
  <sheetData>
    <row r="2" spans="2:11">
      <c r="B2" s="3" t="s">
        <v>119</v>
      </c>
    </row>
    <row r="4" spans="2:11">
      <c r="B4" s="3" t="s">
        <v>138</v>
      </c>
    </row>
    <row r="5" spans="2:11" ht="13.8" thickBot="1"/>
    <row r="6" spans="2:11">
      <c r="B6" s="123"/>
      <c r="C6" s="124"/>
      <c r="D6" s="124"/>
      <c r="E6" s="124"/>
      <c r="F6" s="124"/>
      <c r="G6" s="124"/>
      <c r="H6" s="124"/>
      <c r="I6" s="124"/>
      <c r="J6" s="124"/>
      <c r="K6" s="125"/>
    </row>
    <row r="7" spans="2:11">
      <c r="B7" s="126"/>
      <c r="K7" s="127"/>
    </row>
    <row r="8" spans="2:11">
      <c r="B8" s="126"/>
      <c r="K8" s="127"/>
    </row>
    <row r="9" spans="2:11">
      <c r="B9" s="126"/>
      <c r="K9" s="127"/>
    </row>
    <row r="10" spans="2:11" ht="21">
      <c r="B10" s="126"/>
      <c r="C10" s="128" t="s">
        <v>120</v>
      </c>
      <c r="E10" s="129" t="s">
        <v>121</v>
      </c>
      <c r="G10" s="129" t="s">
        <v>122</v>
      </c>
      <c r="K10" s="127"/>
    </row>
    <row r="11" spans="2:11" ht="15">
      <c r="B11" s="126"/>
      <c r="C11" s="34"/>
      <c r="D11" s="34"/>
      <c r="E11" s="34"/>
      <c r="F11" s="34"/>
      <c r="G11" s="34"/>
      <c r="H11" s="34"/>
      <c r="I11" s="34"/>
      <c r="J11" s="34"/>
      <c r="K11" s="127"/>
    </row>
    <row r="12" spans="2:11" ht="15">
      <c r="B12" s="126"/>
      <c r="C12" s="34"/>
      <c r="D12" s="34" t="s">
        <v>123</v>
      </c>
      <c r="E12" s="34" t="s">
        <v>124</v>
      </c>
      <c r="F12" s="34"/>
      <c r="G12" s="34" t="s">
        <v>20</v>
      </c>
      <c r="H12" s="34"/>
      <c r="I12" s="34" t="s">
        <v>125</v>
      </c>
      <c r="J12" s="34" t="s">
        <v>126</v>
      </c>
      <c r="K12" s="127"/>
    </row>
    <row r="13" spans="2:11" ht="15">
      <c r="B13" s="126"/>
      <c r="C13" s="34"/>
      <c r="D13" s="34" t="s">
        <v>127</v>
      </c>
      <c r="E13" s="34" t="str">
        <f>Information!$B$3</f>
        <v>Crann Toys GmbH</v>
      </c>
      <c r="F13" s="34"/>
      <c r="G13" s="34" t="str">
        <f>Information!$C$19</f>
        <v>AT 99 3829 0003 7408 3921</v>
      </c>
      <c r="H13" s="34"/>
      <c r="I13" s="655">
        <f>'Bank Statement-noInfo'!O16+'Bank Statement-noInfo'!O8+'Bank Statement-noInfo'!O9</f>
        <v>1004.4818081060687</v>
      </c>
      <c r="J13" s="655">
        <f>I13-E19</f>
        <v>-9097.118191893931</v>
      </c>
      <c r="K13" s="130"/>
    </row>
    <row r="14" spans="2:11" ht="15">
      <c r="B14" s="126"/>
      <c r="C14" s="34"/>
      <c r="D14" s="34"/>
      <c r="E14" s="34"/>
      <c r="F14" s="34"/>
      <c r="G14" s="34"/>
      <c r="H14" s="34"/>
      <c r="I14" s="34"/>
      <c r="J14" s="34"/>
      <c r="K14" s="127"/>
    </row>
    <row r="15" spans="2:11" ht="18">
      <c r="B15" s="126"/>
      <c r="C15" s="129" t="s">
        <v>128</v>
      </c>
      <c r="D15" s="129"/>
      <c r="K15" s="127"/>
    </row>
    <row r="16" spans="2:11">
      <c r="B16" s="126"/>
      <c r="K16" s="127"/>
    </row>
    <row r="17" spans="2:11" ht="15">
      <c r="B17" s="126"/>
      <c r="C17" s="34"/>
      <c r="D17" s="34" t="s">
        <v>129</v>
      </c>
      <c r="E17" s="34" t="str">
        <f>Information!B68</f>
        <v>SPEEDY GmbH</v>
      </c>
      <c r="F17" s="34"/>
      <c r="G17" s="34"/>
      <c r="H17" s="34"/>
      <c r="I17" s="34"/>
      <c r="J17" s="34"/>
      <c r="K17" s="672"/>
    </row>
    <row r="18" spans="2:11" ht="15">
      <c r="B18" s="126"/>
      <c r="C18" s="34"/>
      <c r="D18" s="34" t="s">
        <v>130</v>
      </c>
      <c r="E18" s="34" t="str">
        <f>'Transport CostsPur'!D36</f>
        <v xml:space="preserve">AT 99 3920 0003 7345 023728 </v>
      </c>
      <c r="F18" s="34"/>
      <c r="G18" s="34" t="s">
        <v>131</v>
      </c>
      <c r="H18" s="34" t="str">
        <f>'Transport CostsPur'!G36</f>
        <v>SANTATWW</v>
      </c>
      <c r="I18" s="34"/>
      <c r="J18" s="34"/>
      <c r="K18" s="672"/>
    </row>
    <row r="19" spans="2:11" ht="15">
      <c r="B19" s="126"/>
      <c r="C19" s="34"/>
      <c r="D19" s="34" t="s">
        <v>132</v>
      </c>
      <c r="E19" s="285">
        <f>'Transport CostsPur'!L30</f>
        <v>10101.6</v>
      </c>
      <c r="F19" s="34"/>
      <c r="G19" s="34" t="s">
        <v>133</v>
      </c>
      <c r="H19" s="34" t="s">
        <v>22</v>
      </c>
      <c r="I19" s="34"/>
      <c r="J19" s="34"/>
      <c r="K19" s="672"/>
    </row>
    <row r="20" spans="2:11" ht="15">
      <c r="B20" s="126"/>
      <c r="C20" s="34"/>
      <c r="D20" s="34" t="s">
        <v>134</v>
      </c>
      <c r="E20" s="674" t="str">
        <f>'Transport CostsPur'!B2</f>
        <v>Transport costs</v>
      </c>
      <c r="F20" s="675"/>
      <c r="G20" s="676"/>
      <c r="H20" s="676"/>
      <c r="I20" s="676"/>
      <c r="J20" s="677"/>
      <c r="K20" s="672"/>
    </row>
    <row r="21" spans="2:11" ht="15">
      <c r="B21" s="126"/>
      <c r="C21" s="34"/>
      <c r="D21" s="34"/>
      <c r="E21" s="678" t="str">
        <f>'Transport CostsPur'!C11</f>
        <v xml:space="preserve">Invoice No: </v>
      </c>
      <c r="F21" s="420">
        <f>'Transport CostsPur'!E11</f>
        <v>168</v>
      </c>
      <c r="G21" s="34"/>
      <c r="H21" s="34"/>
      <c r="I21" s="34"/>
      <c r="J21" s="679"/>
      <c r="K21" s="672"/>
    </row>
    <row r="22" spans="2:11" ht="15">
      <c r="B22" s="126"/>
      <c r="C22" s="34"/>
      <c r="D22" s="34"/>
      <c r="E22" s="678"/>
      <c r="F22" s="420"/>
      <c r="G22" s="34"/>
      <c r="H22" s="34"/>
      <c r="I22" s="34"/>
      <c r="J22" s="679"/>
      <c r="K22" s="672"/>
    </row>
    <row r="23" spans="2:11" ht="15">
      <c r="B23" s="126"/>
      <c r="C23" s="34"/>
      <c r="D23" s="34"/>
      <c r="E23" s="678"/>
      <c r="F23" s="420"/>
      <c r="G23" s="34"/>
      <c r="H23" s="34"/>
      <c r="I23" s="34"/>
      <c r="J23" s="679"/>
      <c r="K23" s="672"/>
    </row>
    <row r="24" spans="2:11" ht="15">
      <c r="B24" s="126"/>
      <c r="C24" s="34"/>
      <c r="D24" s="34"/>
      <c r="E24" s="680"/>
      <c r="F24" s="681"/>
      <c r="G24" s="682"/>
      <c r="H24" s="682"/>
      <c r="I24" s="682"/>
      <c r="J24" s="683"/>
      <c r="K24" s="672"/>
    </row>
    <row r="25" spans="2:11" ht="15">
      <c r="B25" s="126"/>
      <c r="C25" s="34"/>
      <c r="D25" s="34" t="s">
        <v>135</v>
      </c>
      <c r="E25" s="714">
        <f>'Bank Statement-noInfo'!C10</f>
        <v>44870</v>
      </c>
      <c r="F25" s="34"/>
      <c r="G25" s="34"/>
      <c r="H25" s="34"/>
      <c r="I25" s="34"/>
      <c r="J25" s="34"/>
      <c r="K25" s="672"/>
    </row>
    <row r="26" spans="2:11" ht="15">
      <c r="B26" s="126"/>
      <c r="C26" s="34"/>
      <c r="D26" s="34" t="s">
        <v>136</v>
      </c>
      <c r="E26" s="34" t="str">
        <f>Information!B3</f>
        <v>Crann Toys GmbH</v>
      </c>
      <c r="F26" s="34"/>
      <c r="G26" s="34"/>
      <c r="H26" s="34"/>
      <c r="I26" s="34"/>
      <c r="J26" s="34"/>
      <c r="K26" s="672"/>
    </row>
    <row r="27" spans="2:11" ht="13.8" thickBot="1">
      <c r="B27" s="132"/>
      <c r="C27" s="133"/>
      <c r="D27" s="133"/>
      <c r="E27" s="133"/>
      <c r="F27" s="133"/>
      <c r="G27" s="133"/>
      <c r="H27" s="133"/>
      <c r="I27" s="133"/>
      <c r="J27" s="133"/>
      <c r="K27" s="134"/>
    </row>
  </sheetData>
  <pageMargins left="0.7" right="0.7" top="0.78740157499999996" bottom="0.78740157499999996"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149"/>
  <sheetViews>
    <sheetView showGridLines="0" tabSelected="1" topLeftCell="I1" zoomScale="85" zoomScaleNormal="85" workbookViewId="0">
      <selection activeCell="P5" sqref="P5"/>
    </sheetView>
  </sheetViews>
  <sheetFormatPr defaultColWidth="11.5546875" defaultRowHeight="13.2"/>
  <cols>
    <col min="2" max="2" width="17.6640625" customWidth="1"/>
    <col min="3" max="3" width="3" customWidth="1"/>
    <col min="4" max="4" width="6.5546875" customWidth="1"/>
    <col min="5" max="5" width="8.6640625" customWidth="1"/>
    <col min="6" max="6" width="19.88671875" customWidth="1"/>
    <col min="7" max="7" width="22.44140625" customWidth="1"/>
    <col min="8" max="8" width="7.5546875" customWidth="1"/>
    <col min="9" max="9" width="13.33203125" customWidth="1"/>
    <col min="10" max="10" width="16.33203125" customWidth="1"/>
    <col min="11" max="11" width="2.5546875" bestFit="1" customWidth="1"/>
    <col min="12" max="12" width="21.33203125" customWidth="1"/>
    <col min="13" max="13" width="3" customWidth="1"/>
    <col min="14" max="14" width="27" customWidth="1"/>
    <col min="15" max="15" width="10.6640625" customWidth="1"/>
    <col min="16" max="16" width="18.109375" customWidth="1"/>
    <col min="17" max="17" width="4" customWidth="1"/>
  </cols>
  <sheetData>
    <row r="1" spans="2:22" ht="15">
      <c r="D1" s="34"/>
      <c r="E1" s="34"/>
    </row>
    <row r="4" spans="2:22" ht="15.6">
      <c r="B4" s="15" t="s">
        <v>233</v>
      </c>
      <c r="C4" s="15"/>
      <c r="D4" s="15"/>
      <c r="E4" s="15"/>
      <c r="F4" s="15"/>
      <c r="G4" s="15" t="s">
        <v>234</v>
      </c>
      <c r="H4" s="15"/>
      <c r="I4" s="15"/>
      <c r="J4" s="15"/>
      <c r="K4" s="15"/>
      <c r="L4" s="15"/>
      <c r="M4" s="15"/>
      <c r="N4" s="15"/>
      <c r="O4" s="15"/>
      <c r="P4" s="5"/>
      <c r="V4" s="3"/>
    </row>
    <row r="5" spans="2:22" ht="15.6">
      <c r="B5" s="5"/>
      <c r="C5" s="5"/>
      <c r="D5" s="5"/>
      <c r="E5" s="5"/>
      <c r="F5" s="5"/>
      <c r="G5" s="15" t="s">
        <v>232</v>
      </c>
      <c r="H5" s="5"/>
      <c r="I5" s="5"/>
      <c r="J5" s="5"/>
      <c r="K5" s="5"/>
      <c r="L5" s="5"/>
      <c r="M5" s="5"/>
      <c r="N5" s="5"/>
      <c r="O5" s="5"/>
      <c r="P5" s="5"/>
    </row>
    <row r="6" spans="2:22" ht="15">
      <c r="B6" s="5"/>
      <c r="C6" s="5"/>
      <c r="D6" s="5"/>
      <c r="E6" s="5"/>
      <c r="F6" s="5"/>
      <c r="G6" s="5"/>
      <c r="H6" s="5"/>
      <c r="I6" s="5"/>
      <c r="J6" s="5"/>
      <c r="K6" s="5"/>
      <c r="L6" s="5"/>
      <c r="M6" s="5"/>
      <c r="N6" s="5"/>
      <c r="O6" s="5"/>
      <c r="P6" s="5"/>
    </row>
    <row r="7" spans="2:22" ht="15.6">
      <c r="B7" s="39" t="s">
        <v>414</v>
      </c>
      <c r="C7" s="120"/>
      <c r="D7" s="120"/>
      <c r="E7" s="120"/>
      <c r="F7" s="5"/>
      <c r="G7" s="5"/>
      <c r="H7" s="5"/>
      <c r="I7" s="5"/>
      <c r="J7" s="5"/>
      <c r="K7" s="5"/>
      <c r="L7" s="5"/>
      <c r="M7" s="5"/>
      <c r="N7" s="5"/>
      <c r="O7" s="5"/>
      <c r="P7" s="5"/>
    </row>
    <row r="8" spans="2:22" ht="15.6">
      <c r="B8" s="5" t="s">
        <v>105</v>
      </c>
      <c r="C8" s="5"/>
      <c r="D8" s="5"/>
      <c r="E8" s="5"/>
      <c r="F8" s="5"/>
      <c r="G8" s="5"/>
      <c r="H8" s="5"/>
      <c r="I8" s="5"/>
      <c r="J8" s="5"/>
      <c r="K8" s="5"/>
      <c r="L8" s="5"/>
      <c r="M8" s="5"/>
      <c r="N8" s="5"/>
      <c r="O8" s="5"/>
      <c r="P8" s="5"/>
    </row>
    <row r="9" spans="2:22" ht="15">
      <c r="B9" s="5"/>
      <c r="C9" s="5"/>
      <c r="D9" s="5"/>
      <c r="E9" s="5"/>
      <c r="F9" s="5"/>
      <c r="G9" s="5"/>
      <c r="H9" s="5"/>
      <c r="I9" s="5"/>
      <c r="J9" s="5"/>
      <c r="K9" s="5"/>
      <c r="L9" s="5"/>
      <c r="M9" s="5"/>
      <c r="N9" s="5"/>
      <c r="O9" s="5"/>
      <c r="P9" s="5"/>
    </row>
    <row r="10" spans="2:22" ht="15">
      <c r="B10" s="5" t="s">
        <v>34</v>
      </c>
      <c r="C10" s="5"/>
      <c r="D10" s="5"/>
      <c r="E10" s="16"/>
      <c r="F10" s="17" t="str">
        <f>'PurchaseInvoice-correct'!K28</f>
        <v>HUF</v>
      </c>
      <c r="G10" s="18">
        <f>'PurchaseInvoice-correct'!L44</f>
        <v>42925000</v>
      </c>
      <c r="H10" s="18"/>
      <c r="I10" s="18"/>
      <c r="J10" s="5"/>
      <c r="K10" s="5"/>
      <c r="L10" s="5"/>
      <c r="M10" s="5"/>
      <c r="N10" s="5"/>
      <c r="O10" s="5"/>
      <c r="P10" s="5"/>
    </row>
    <row r="11" spans="2:22" ht="15">
      <c r="B11" s="5"/>
      <c r="C11" s="5"/>
      <c r="D11" s="5"/>
      <c r="E11" s="16"/>
      <c r="F11" s="16" t="s">
        <v>35</v>
      </c>
      <c r="G11" s="322">
        <f>'PurchaseInvoice-correct'!Y16</f>
        <v>364.25099999999998</v>
      </c>
      <c r="H11" s="5" t="s">
        <v>160</v>
      </c>
      <c r="I11" s="5"/>
      <c r="J11" s="5"/>
      <c r="K11" s="5"/>
      <c r="L11" s="5"/>
      <c r="M11" s="5"/>
      <c r="N11" s="5"/>
      <c r="O11" s="5"/>
      <c r="P11" s="5"/>
    </row>
    <row r="12" spans="2:22" ht="15">
      <c r="B12" s="5"/>
      <c r="C12" s="5"/>
      <c r="D12" s="5"/>
      <c r="E12" s="16"/>
      <c r="F12" s="19" t="s">
        <v>30</v>
      </c>
      <c r="G12" s="20">
        <f>G10/G11</f>
        <v>117844.56322700556</v>
      </c>
      <c r="H12" s="5"/>
      <c r="I12" s="5"/>
      <c r="J12" s="5"/>
      <c r="K12" s="5"/>
      <c r="L12" s="5"/>
      <c r="M12" s="5"/>
      <c r="N12" s="5"/>
      <c r="O12" s="5"/>
      <c r="P12" s="16"/>
    </row>
    <row r="13" spans="2:22" ht="15">
      <c r="B13" s="5"/>
      <c r="C13" s="5"/>
      <c r="D13" s="5"/>
      <c r="E13" s="5"/>
      <c r="F13" s="5"/>
      <c r="G13" s="5"/>
      <c r="H13" s="5"/>
      <c r="I13" s="5"/>
      <c r="J13" s="5"/>
      <c r="K13" s="5"/>
      <c r="L13" s="5"/>
      <c r="M13" s="5"/>
      <c r="N13" s="5"/>
      <c r="O13" s="5"/>
      <c r="P13" s="5"/>
    </row>
    <row r="14" spans="2:22" ht="15.6">
      <c r="B14" s="15" t="s">
        <v>52</v>
      </c>
      <c r="C14" s="5"/>
      <c r="D14" s="5"/>
      <c r="E14" s="5"/>
      <c r="F14" s="5"/>
      <c r="G14" s="5"/>
      <c r="H14" s="5"/>
      <c r="I14" s="5"/>
      <c r="J14" s="5"/>
      <c r="K14" s="5"/>
      <c r="L14" s="5"/>
      <c r="M14" s="5"/>
      <c r="N14" s="5"/>
      <c r="O14" s="5"/>
      <c r="P14" s="5"/>
    </row>
    <row r="15" spans="2:22" ht="36" customHeight="1">
      <c r="B15" s="194">
        <f>'PurchaseInvoice-correct'!L19</f>
        <v>44862</v>
      </c>
      <c r="C15" s="193" t="str">
        <f>'PurchaseInvoice-correct'!U14</f>
        <v>P</v>
      </c>
      <c r="D15" s="557">
        <f>Information!C170+1</f>
        <v>126</v>
      </c>
      <c r="E15" s="542">
        <f>Information!I7</f>
        <v>5100</v>
      </c>
      <c r="F15" s="498" t="str">
        <f>Information!J7</f>
        <v>Raw materials used</v>
      </c>
      <c r="G15" s="498"/>
      <c r="H15" s="498"/>
      <c r="I15" s="498"/>
      <c r="J15" s="497"/>
      <c r="K15" s="497" t="s">
        <v>36</v>
      </c>
      <c r="L15" s="499">
        <f>Information!C47</f>
        <v>33790</v>
      </c>
      <c r="M15" s="499"/>
      <c r="N15" s="498" t="str">
        <f>Information!B49</f>
        <v>István Molnár Kft.</v>
      </c>
      <c r="O15" s="498"/>
      <c r="P15" s="500">
        <f>G12</f>
        <v>117844.56322700556</v>
      </c>
      <c r="Q15" s="279" t="s">
        <v>163</v>
      </c>
      <c r="S15" s="3"/>
    </row>
    <row r="16" spans="2:22" ht="15">
      <c r="B16" s="5"/>
      <c r="C16" s="5"/>
      <c r="D16" s="5"/>
      <c r="E16" s="5"/>
      <c r="F16" s="5"/>
      <c r="G16" s="5"/>
      <c r="H16" s="5"/>
      <c r="I16" s="5"/>
      <c r="J16" s="5"/>
      <c r="K16" s="5"/>
      <c r="L16" s="5"/>
      <c r="M16" s="5"/>
      <c r="N16" s="5" t="s">
        <v>231</v>
      </c>
      <c r="O16" s="5"/>
      <c r="P16" s="16"/>
    </row>
    <row r="17" spans="2:21" ht="15">
      <c r="B17" s="5"/>
      <c r="C17" s="5"/>
      <c r="D17" s="5"/>
      <c r="E17" s="5"/>
      <c r="F17" s="5"/>
      <c r="G17" s="5"/>
      <c r="H17" s="5"/>
      <c r="I17" s="5"/>
      <c r="J17" s="5"/>
      <c r="K17" s="5"/>
      <c r="L17" s="5"/>
      <c r="M17" s="5"/>
      <c r="N17" s="5"/>
      <c r="O17" s="5"/>
      <c r="P17" s="16"/>
    </row>
    <row r="18" spans="2:21" ht="15.6">
      <c r="B18" s="15" t="s">
        <v>53</v>
      </c>
      <c r="C18" s="5"/>
      <c r="D18" s="5"/>
      <c r="E18" s="5"/>
      <c r="F18" s="5"/>
      <c r="G18" s="5"/>
      <c r="H18" s="5"/>
      <c r="I18" s="5"/>
      <c r="J18" s="5"/>
      <c r="K18" s="5"/>
      <c r="L18" s="5"/>
      <c r="M18" s="5"/>
      <c r="N18" s="5"/>
      <c r="O18" s="5"/>
      <c r="P18" s="16"/>
    </row>
    <row r="19" spans="2:21" ht="15.6">
      <c r="B19" s="15"/>
      <c r="C19" s="5"/>
      <c r="D19" s="5"/>
      <c r="E19" s="5"/>
      <c r="F19" s="5"/>
      <c r="G19" s="5"/>
      <c r="H19" s="5"/>
      <c r="I19" s="17" t="str">
        <f>F12</f>
        <v>€</v>
      </c>
      <c r="J19" s="17">
        <f>G12</f>
        <v>117844.56322700556</v>
      </c>
      <c r="K19" s="37" t="s">
        <v>61</v>
      </c>
      <c r="L19" s="23">
        <v>0.2</v>
      </c>
      <c r="M19" s="40" t="s">
        <v>46</v>
      </c>
      <c r="N19" s="41">
        <f>J19*L19</f>
        <v>23568.912645401113</v>
      </c>
      <c r="O19" s="5"/>
      <c r="P19" s="16"/>
    </row>
    <row r="20" spans="2:21" ht="15.6">
      <c r="B20" s="15"/>
      <c r="C20" s="5"/>
      <c r="D20" s="5"/>
      <c r="E20" s="5"/>
      <c r="F20" s="5"/>
      <c r="G20" s="5"/>
      <c r="H20" s="5"/>
      <c r="I20" s="5"/>
      <c r="J20" s="5"/>
      <c r="K20" s="5"/>
      <c r="L20" s="5"/>
      <c r="M20" s="5"/>
      <c r="N20" s="5"/>
      <c r="O20" s="5"/>
      <c r="P20" s="16"/>
    </row>
    <row r="21" spans="2:21" ht="15.6">
      <c r="B21" s="15"/>
      <c r="C21" s="5"/>
      <c r="D21" s="5"/>
      <c r="E21" s="5"/>
      <c r="F21" s="5"/>
      <c r="G21" s="5"/>
      <c r="H21" s="5"/>
      <c r="I21" s="5"/>
      <c r="J21" s="5"/>
      <c r="K21" s="5"/>
      <c r="L21" s="5"/>
      <c r="M21" s="5"/>
      <c r="N21" s="5"/>
      <c r="O21" s="5"/>
      <c r="P21" s="16"/>
    </row>
    <row r="22" spans="2:21" ht="36" customHeight="1">
      <c r="B22" s="194">
        <f>'PurchaseInvoice-correct'!L19</f>
        <v>44862</v>
      </c>
      <c r="C22" s="193"/>
      <c r="D22" s="193"/>
      <c r="E22" s="512">
        <f>Information!I15</f>
        <v>2510</v>
      </c>
      <c r="F22" s="498" t="str">
        <f>Information!J15</f>
        <v xml:space="preserve">VAT Input on EU Purchases </v>
      </c>
      <c r="G22" s="498"/>
      <c r="H22" s="498"/>
      <c r="I22" s="498"/>
      <c r="J22" s="497"/>
      <c r="K22" s="497" t="s">
        <v>36</v>
      </c>
      <c r="L22" s="499">
        <f>Information!I16</f>
        <v>3510</v>
      </c>
      <c r="M22" s="499"/>
      <c r="N22" s="498" t="str">
        <f>Information!J16</f>
        <v>VAT Output on EU Purchases</v>
      </c>
      <c r="O22" s="498"/>
      <c r="P22" s="500">
        <f>G12*20%</f>
        <v>23568.912645401113</v>
      </c>
      <c r="Q22" s="191" t="s">
        <v>413</v>
      </c>
      <c r="R22" s="192"/>
    </row>
    <row r="23" spans="2:21" ht="15">
      <c r="B23" s="5"/>
      <c r="C23" s="5"/>
      <c r="D23" s="5"/>
      <c r="E23" s="5"/>
      <c r="F23" s="5"/>
      <c r="G23" s="5"/>
      <c r="H23" s="5"/>
      <c r="I23" s="5"/>
      <c r="J23" s="5"/>
      <c r="K23" s="5"/>
      <c r="L23" s="5"/>
      <c r="M23" s="5"/>
      <c r="N23" s="5"/>
      <c r="O23" s="5"/>
      <c r="P23" s="16"/>
      <c r="U23" s="3"/>
    </row>
    <row r="24" spans="2:21" ht="15">
      <c r="B24" s="5"/>
      <c r="C24" s="5"/>
      <c r="D24" s="5"/>
      <c r="E24" s="5"/>
      <c r="F24" s="5"/>
      <c r="G24" s="5"/>
      <c r="H24" s="5"/>
      <c r="I24" s="5"/>
      <c r="J24" s="5"/>
      <c r="K24" s="5"/>
      <c r="L24" s="5"/>
      <c r="M24" s="5"/>
      <c r="N24" s="5" t="s">
        <v>104</v>
      </c>
      <c r="O24" s="5"/>
      <c r="P24" s="16"/>
      <c r="U24" s="3"/>
    </row>
    <row r="25" spans="2:21" ht="15">
      <c r="B25" s="5"/>
      <c r="C25" s="5"/>
      <c r="D25" s="5"/>
      <c r="E25" s="5"/>
      <c r="F25" s="5"/>
      <c r="G25" s="5"/>
      <c r="H25" s="5"/>
      <c r="I25" s="5"/>
      <c r="J25" s="5"/>
      <c r="K25" s="5"/>
      <c r="L25" s="5"/>
      <c r="M25" s="5"/>
      <c r="N25" s="5"/>
      <c r="O25" s="5"/>
      <c r="P25" s="16"/>
    </row>
    <row r="26" spans="2:21" ht="15">
      <c r="B26" s="5"/>
      <c r="C26" s="5"/>
      <c r="D26" s="5"/>
      <c r="E26" s="5"/>
      <c r="F26" s="5"/>
      <c r="G26" s="5"/>
      <c r="H26" s="5"/>
      <c r="I26" s="5"/>
      <c r="J26" s="5"/>
      <c r="K26" s="5"/>
      <c r="L26" s="5"/>
      <c r="M26" s="5"/>
      <c r="N26" s="5"/>
      <c r="O26" s="5"/>
      <c r="P26" s="16"/>
    </row>
    <row r="27" spans="2:21" ht="15.6">
      <c r="B27" s="39" t="s">
        <v>415</v>
      </c>
      <c r="C27" s="120"/>
      <c r="D27" s="120"/>
      <c r="E27" s="120"/>
      <c r="F27" s="120"/>
      <c r="G27" s="120"/>
      <c r="H27" s="5"/>
      <c r="I27" s="5"/>
      <c r="J27" s="5"/>
      <c r="K27" s="5"/>
      <c r="L27" s="5"/>
      <c r="M27" s="5"/>
      <c r="N27" s="5"/>
      <c r="O27" s="5"/>
      <c r="P27" s="5"/>
    </row>
    <row r="28" spans="2:21" ht="15.6">
      <c r="B28" s="121"/>
      <c r="C28" s="5"/>
      <c r="D28" s="5"/>
      <c r="E28" s="5"/>
      <c r="F28" s="5"/>
      <c r="G28" s="5"/>
      <c r="H28" s="5"/>
      <c r="I28" s="5"/>
      <c r="J28" s="5"/>
      <c r="K28" s="5"/>
      <c r="L28" s="5"/>
      <c r="M28" s="5"/>
      <c r="N28" s="5"/>
      <c r="O28" s="5"/>
      <c r="P28" s="5"/>
    </row>
    <row r="29" spans="2:21" ht="15">
      <c r="B29" s="5" t="s">
        <v>159</v>
      </c>
      <c r="C29" s="5"/>
      <c r="D29" s="5"/>
      <c r="E29" s="5"/>
      <c r="F29" s="5"/>
      <c r="G29" s="5"/>
      <c r="H29" s="5"/>
      <c r="I29" s="5"/>
      <c r="J29" s="5"/>
      <c r="K29" s="5"/>
      <c r="L29" s="5"/>
      <c r="M29" s="5"/>
      <c r="N29" s="5"/>
      <c r="O29" s="5"/>
      <c r="P29" s="5"/>
    </row>
    <row r="30" spans="2:21" ht="18" customHeight="1">
      <c r="B30" s="194">
        <f>'Transport CostsPur'!E17</f>
        <v>44863</v>
      </c>
      <c r="C30" s="193" t="s">
        <v>249</v>
      </c>
      <c r="D30" s="550">
        <f>D15+1</f>
        <v>127</v>
      </c>
      <c r="E30" s="549">
        <f>Information!$I$7</f>
        <v>5100</v>
      </c>
      <c r="F30" s="502"/>
      <c r="G30" s="743" t="str">
        <f>Information!$J$7</f>
        <v>Raw materials used</v>
      </c>
      <c r="H30" s="743"/>
      <c r="I30" s="503"/>
      <c r="J30" s="504">
        <f>P30/120*100</f>
        <v>8418</v>
      </c>
      <c r="K30" s="501" t="s">
        <v>36</v>
      </c>
      <c r="L30" s="505">
        <f>Information!E68</f>
        <v>33087</v>
      </c>
      <c r="M30" s="505"/>
      <c r="N30" s="505" t="str">
        <f>Information!B68</f>
        <v>SPEEDY GmbH</v>
      </c>
      <c r="O30" s="505"/>
      <c r="P30" s="506">
        <f>'Transport CostsPur'!L30</f>
        <v>10101.6</v>
      </c>
      <c r="Q30" s="190" t="s">
        <v>163</v>
      </c>
    </row>
    <row r="31" spans="2:21" ht="18" customHeight="1">
      <c r="B31" s="193"/>
      <c r="C31" s="193"/>
      <c r="D31" s="193"/>
      <c r="E31" s="507">
        <f>Information!I17</f>
        <v>2500</v>
      </c>
      <c r="F31" s="508"/>
      <c r="G31" s="508" t="str">
        <f>Information!J17</f>
        <v>VAT Input</v>
      </c>
      <c r="H31" s="508"/>
      <c r="I31" s="508"/>
      <c r="J31" s="509">
        <f>P30/120*20</f>
        <v>1683.6000000000001</v>
      </c>
      <c r="K31" s="510" t="s">
        <v>36</v>
      </c>
      <c r="L31" s="508"/>
      <c r="M31" s="508"/>
      <c r="N31" s="508"/>
      <c r="O31" s="508"/>
      <c r="P31" s="511"/>
      <c r="Q31" s="192"/>
    </row>
    <row r="32" spans="2:21" ht="15.6">
      <c r="B32" s="121"/>
      <c r="C32" s="5"/>
      <c r="D32" s="5"/>
      <c r="E32" s="5"/>
      <c r="F32" s="5"/>
      <c r="G32" s="5"/>
      <c r="H32" s="5"/>
      <c r="I32" s="5"/>
      <c r="J32" s="5"/>
      <c r="K32" s="5"/>
      <c r="L32" s="5"/>
      <c r="M32" s="5"/>
      <c r="N32" s="5"/>
      <c r="O32" s="5"/>
      <c r="P32" s="16"/>
    </row>
    <row r="33" spans="2:17" ht="15.6">
      <c r="B33" s="121"/>
      <c r="C33" s="5"/>
      <c r="D33" s="5"/>
      <c r="E33" s="5"/>
      <c r="F33" s="5"/>
      <c r="G33" s="5"/>
      <c r="H33" s="5"/>
      <c r="I33" s="5"/>
      <c r="J33" s="5"/>
      <c r="K33" s="5"/>
      <c r="L33" s="5"/>
      <c r="M33" s="5"/>
      <c r="N33" s="5"/>
      <c r="O33" s="5"/>
      <c r="P33" s="5"/>
    </row>
    <row r="34" spans="2:17" ht="15.6">
      <c r="B34" s="121"/>
      <c r="C34" s="5"/>
      <c r="D34" s="5"/>
      <c r="E34" s="5"/>
      <c r="F34" s="5"/>
      <c r="G34" s="5"/>
      <c r="H34" s="5"/>
      <c r="I34" s="5"/>
      <c r="J34" s="5"/>
      <c r="K34" s="5"/>
      <c r="L34" s="5"/>
      <c r="M34" s="5"/>
      <c r="N34" s="5"/>
      <c r="O34" s="5"/>
      <c r="P34" s="5"/>
    </row>
    <row r="35" spans="2:17" ht="15.6">
      <c r="B35" s="39" t="s">
        <v>416</v>
      </c>
      <c r="C35" s="120"/>
      <c r="D35" s="5"/>
      <c r="E35" s="5"/>
      <c r="F35" s="5"/>
      <c r="G35" s="5"/>
      <c r="H35" s="5"/>
      <c r="I35" s="5"/>
      <c r="J35" s="5"/>
      <c r="K35" s="5"/>
      <c r="L35" s="5"/>
      <c r="M35" s="5"/>
      <c r="N35" s="5"/>
      <c r="O35" s="5"/>
      <c r="P35" s="5"/>
    </row>
    <row r="36" spans="2:17" ht="15.6">
      <c r="B36" s="5" t="s">
        <v>235</v>
      </c>
      <c r="C36" s="5"/>
      <c r="D36" s="5"/>
      <c r="E36" s="5"/>
      <c r="F36" s="5"/>
      <c r="G36" s="5"/>
      <c r="H36" s="5"/>
      <c r="I36" s="5"/>
      <c r="J36" s="5"/>
      <c r="K36" s="5"/>
      <c r="L36" s="5"/>
      <c r="M36" s="5"/>
      <c r="N36" s="5"/>
      <c r="O36" s="5"/>
      <c r="P36" s="5"/>
    </row>
    <row r="37" spans="2:17" ht="15.6">
      <c r="B37" s="121"/>
      <c r="C37" s="5"/>
      <c r="D37" s="5"/>
      <c r="E37" s="5"/>
      <c r="F37" s="5"/>
      <c r="G37" s="5"/>
      <c r="H37" s="5"/>
      <c r="I37" s="5"/>
      <c r="J37" s="5"/>
      <c r="K37" s="5"/>
      <c r="L37" s="5"/>
      <c r="M37" s="5"/>
      <c r="N37" s="5"/>
      <c r="O37" s="5"/>
      <c r="P37" s="5"/>
    </row>
    <row r="38" spans="2:17" ht="15">
      <c r="B38" s="5" t="s">
        <v>34</v>
      </c>
      <c r="C38" s="5"/>
      <c r="D38" s="5"/>
      <c r="E38" s="16"/>
      <c r="F38" s="18" t="str">
        <f>SalesInvoice!K28</f>
        <v>CHF</v>
      </c>
      <c r="G38" s="18">
        <f>SalesInvoice!L28</f>
        <v>9375</v>
      </c>
      <c r="H38" s="18"/>
      <c r="I38" s="18"/>
      <c r="J38" s="5"/>
      <c r="K38" s="5"/>
      <c r="L38" s="5"/>
      <c r="M38" s="5"/>
      <c r="N38" s="5"/>
      <c r="O38" s="5"/>
      <c r="P38" s="5"/>
    </row>
    <row r="39" spans="2:17" ht="15">
      <c r="B39" s="5"/>
      <c r="C39" s="5"/>
      <c r="D39" s="5"/>
      <c r="E39" s="16"/>
      <c r="F39" s="16" t="s">
        <v>35</v>
      </c>
      <c r="G39" s="322">
        <f>SalesInvoice!U15</f>
        <v>1.0811999999999999</v>
      </c>
      <c r="H39" s="5" t="s">
        <v>236</v>
      </c>
      <c r="I39" s="5"/>
      <c r="J39" s="5"/>
      <c r="K39" s="5"/>
      <c r="L39" s="5"/>
      <c r="M39" s="5"/>
      <c r="N39" s="5"/>
      <c r="O39" s="5"/>
      <c r="P39" s="5"/>
    </row>
    <row r="40" spans="2:17" ht="15">
      <c r="B40" s="5"/>
      <c r="C40" s="5"/>
      <c r="D40" s="5"/>
      <c r="E40" s="16"/>
      <c r="F40" s="19" t="s">
        <v>30</v>
      </c>
      <c r="G40" s="20">
        <f>G38/G39</f>
        <v>8670.9211986681476</v>
      </c>
      <c r="H40" s="5"/>
      <c r="I40" s="5"/>
      <c r="J40" s="5"/>
      <c r="K40" s="5"/>
      <c r="L40" s="5"/>
      <c r="M40" s="5"/>
      <c r="N40" s="5"/>
      <c r="O40" s="5"/>
      <c r="P40" s="5"/>
    </row>
    <row r="41" spans="2:17" ht="15.6">
      <c r="B41" s="121"/>
      <c r="C41" s="5"/>
      <c r="D41" s="5"/>
      <c r="E41" s="5"/>
      <c r="F41" s="5"/>
      <c r="G41" s="5"/>
      <c r="H41" s="5"/>
      <c r="I41" s="5"/>
      <c r="J41" s="5"/>
      <c r="K41" s="5"/>
      <c r="L41" s="5"/>
      <c r="M41" s="5"/>
      <c r="N41" s="5"/>
      <c r="O41" s="5"/>
      <c r="P41" s="5"/>
    </row>
    <row r="42" spans="2:17" ht="15.6">
      <c r="B42" s="15" t="s">
        <v>237</v>
      </c>
      <c r="C42" s="5"/>
      <c r="D42" s="5"/>
      <c r="E42" s="5"/>
      <c r="F42" s="5"/>
      <c r="G42" s="5"/>
      <c r="H42" s="5"/>
      <c r="I42" s="5"/>
      <c r="J42" s="5"/>
      <c r="K42" s="5"/>
      <c r="L42" s="5"/>
      <c r="M42" s="5"/>
      <c r="N42" s="5"/>
      <c r="O42" s="5"/>
      <c r="P42" s="5"/>
    </row>
    <row r="43" spans="2:17" ht="36" customHeight="1">
      <c r="B43" s="194">
        <f>SalesInvoice!L15</f>
        <v>44867</v>
      </c>
      <c r="C43" s="119" t="str">
        <f>SalesInvoice!V7</f>
        <v>S</v>
      </c>
      <c r="D43" s="550">
        <f>SalesInvoice!W7</f>
        <v>29</v>
      </c>
      <c r="E43" s="542">
        <f>Information!B39</f>
        <v>21591</v>
      </c>
      <c r="F43" s="513" t="str">
        <f>Information!C39</f>
        <v>Gagnon AG</v>
      </c>
      <c r="G43" s="498"/>
      <c r="H43" s="498"/>
      <c r="I43" s="498"/>
      <c r="J43" s="497"/>
      <c r="K43" s="497" t="s">
        <v>36</v>
      </c>
      <c r="L43" s="499">
        <f>Information!I21</f>
        <v>4015</v>
      </c>
      <c r="M43" s="499"/>
      <c r="N43" s="498" t="str">
        <f>Information!J21</f>
        <v>Export sales revenue</v>
      </c>
      <c r="O43" s="498"/>
      <c r="P43" s="500">
        <f>G40</f>
        <v>8670.9211986681476</v>
      </c>
      <c r="Q43" s="279" t="s">
        <v>164</v>
      </c>
    </row>
    <row r="44" spans="2:17" ht="15.6">
      <c r="B44" s="121"/>
      <c r="C44" s="5"/>
      <c r="D44" s="5"/>
      <c r="E44" s="5"/>
      <c r="F44" s="5"/>
      <c r="G44" s="5"/>
      <c r="H44" s="5"/>
      <c r="I44" s="5"/>
      <c r="J44" s="5"/>
      <c r="K44" s="5"/>
      <c r="L44" s="5"/>
      <c r="M44" s="5"/>
      <c r="N44" s="5" t="s">
        <v>231</v>
      </c>
      <c r="O44" s="5"/>
      <c r="P44" s="5"/>
    </row>
    <row r="45" spans="2:17" ht="15.6">
      <c r="B45" s="121"/>
      <c r="C45" s="5"/>
      <c r="D45" s="5"/>
      <c r="E45" s="5"/>
      <c r="F45" s="5"/>
      <c r="G45" s="5"/>
      <c r="H45" s="5"/>
      <c r="I45" s="5"/>
      <c r="J45" s="5"/>
      <c r="K45" s="5"/>
      <c r="L45" s="5"/>
      <c r="M45" s="5"/>
      <c r="N45" s="5"/>
      <c r="O45" s="5"/>
      <c r="P45" s="5"/>
    </row>
    <row r="46" spans="2:17" ht="15.6">
      <c r="B46" s="39" t="s">
        <v>238</v>
      </c>
      <c r="C46" s="120"/>
      <c r="D46" s="120"/>
      <c r="E46" s="120"/>
      <c r="F46" s="120"/>
      <c r="G46" s="120"/>
      <c r="H46" s="5"/>
      <c r="I46" s="5"/>
      <c r="J46" s="5"/>
      <c r="K46" s="5"/>
      <c r="L46" s="5"/>
      <c r="M46" s="5"/>
      <c r="N46" s="5"/>
      <c r="O46" s="5"/>
      <c r="P46" s="5"/>
    </row>
    <row r="47" spans="2:17" ht="15.6">
      <c r="B47" s="121"/>
      <c r="C47" s="5"/>
      <c r="D47" s="5"/>
      <c r="E47" s="5"/>
      <c r="F47" s="5"/>
      <c r="G47" s="5"/>
      <c r="H47" s="5"/>
      <c r="I47" s="5"/>
      <c r="J47" s="5"/>
      <c r="K47" s="5"/>
      <c r="L47" s="5"/>
      <c r="M47" s="5"/>
      <c r="N47" s="5"/>
      <c r="O47" s="5"/>
      <c r="P47" s="5"/>
    </row>
    <row r="48" spans="2:17" ht="36" customHeight="1">
      <c r="B48" s="194">
        <f>'Transport CostsSale'!E19</f>
        <v>44870</v>
      </c>
      <c r="C48" s="193" t="s">
        <v>249</v>
      </c>
      <c r="D48" s="550">
        <f>D30+1</f>
        <v>128</v>
      </c>
      <c r="E48" s="514">
        <f>Information!I36</f>
        <v>7301</v>
      </c>
      <c r="F48" s="498" t="str">
        <f>Information!J36</f>
        <v>Freight outwards 0%</v>
      </c>
      <c r="G48" s="498"/>
      <c r="H48" s="515"/>
      <c r="I48" s="497"/>
      <c r="J48" s="516"/>
      <c r="K48" s="497" t="s">
        <v>36</v>
      </c>
      <c r="L48" s="517">
        <f>Information!E81</f>
        <v>33025</v>
      </c>
      <c r="M48" s="518"/>
      <c r="N48" s="497" t="str">
        <f>Information!B81</f>
        <v>WIT Transport GmbH</v>
      </c>
      <c r="O48" s="497"/>
      <c r="P48" s="500">
        <f>'Transport CostsSale'!M34</f>
        <v>710</v>
      </c>
      <c r="Q48" s="302" t="s">
        <v>163</v>
      </c>
    </row>
    <row r="49" spans="2:22" ht="15.6">
      <c r="B49" s="121"/>
      <c r="C49" s="5"/>
      <c r="D49" s="5"/>
      <c r="E49" s="280" t="s">
        <v>240</v>
      </c>
      <c r="F49" s="280"/>
      <c r="G49" s="280"/>
      <c r="H49" s="281"/>
      <c r="I49" s="5"/>
      <c r="J49" s="18"/>
      <c r="K49" s="5"/>
      <c r="L49" s="280"/>
      <c r="M49" s="18"/>
      <c r="N49" s="5"/>
      <c r="O49" s="5"/>
      <c r="P49" s="5"/>
    </row>
    <row r="50" spans="2:22" ht="15.6">
      <c r="B50" s="121"/>
      <c r="C50" s="5"/>
      <c r="D50" s="5"/>
      <c r="E50" s="5"/>
      <c r="F50" s="5"/>
      <c r="G50" s="5"/>
      <c r="H50" s="5"/>
      <c r="I50" s="5"/>
      <c r="J50" s="5"/>
      <c r="K50" s="5"/>
      <c r="L50" s="5"/>
      <c r="M50" s="5"/>
      <c r="N50" s="5"/>
      <c r="O50" s="5"/>
      <c r="P50" s="5"/>
    </row>
    <row r="51" spans="2:22" ht="15.6">
      <c r="B51" s="121"/>
      <c r="C51" s="5"/>
      <c r="D51" s="5"/>
      <c r="E51" s="5"/>
      <c r="F51" s="5"/>
      <c r="G51" s="5"/>
      <c r="H51" s="5"/>
      <c r="I51" s="5"/>
      <c r="J51" s="5"/>
      <c r="K51" s="5"/>
      <c r="L51" s="5"/>
      <c r="M51" s="5"/>
      <c r="N51" s="5"/>
      <c r="O51" s="5"/>
      <c r="P51" s="5"/>
    </row>
    <row r="52" spans="2:22" ht="15.6">
      <c r="B52" s="39" t="s">
        <v>250</v>
      </c>
      <c r="C52" s="120"/>
      <c r="D52" s="120"/>
      <c r="E52" s="120"/>
      <c r="F52" s="120"/>
      <c r="G52" s="5"/>
      <c r="H52" s="5"/>
      <c r="I52" s="5"/>
      <c r="J52" s="5"/>
      <c r="K52" s="5"/>
      <c r="L52" s="5"/>
      <c r="M52" s="5"/>
      <c r="N52" s="5"/>
      <c r="O52" s="5"/>
      <c r="P52" s="5"/>
    </row>
    <row r="53" spans="2:22" ht="15.6">
      <c r="B53" s="121"/>
      <c r="C53" s="5"/>
      <c r="D53" s="5"/>
      <c r="E53" s="5"/>
      <c r="F53" s="5"/>
      <c r="G53" s="5"/>
      <c r="H53" s="5"/>
      <c r="I53" s="5"/>
      <c r="J53" s="5"/>
      <c r="K53" s="5"/>
      <c r="L53" s="5"/>
      <c r="M53" s="5"/>
      <c r="N53" s="5" t="s">
        <v>106</v>
      </c>
      <c r="O53" s="5"/>
      <c r="P53" s="5"/>
    </row>
    <row r="54" spans="2:22" ht="15.6">
      <c r="B54" s="5" t="s">
        <v>107</v>
      </c>
      <c r="C54" s="5"/>
      <c r="D54" s="5"/>
      <c r="E54" s="5"/>
      <c r="F54" s="5"/>
      <c r="G54" s="5"/>
      <c r="H54" s="5"/>
      <c r="I54" s="5"/>
      <c r="J54" s="5"/>
      <c r="K54" s="5"/>
      <c r="L54" s="5"/>
      <c r="M54" s="5"/>
      <c r="N54" s="5"/>
      <c r="O54" s="5"/>
      <c r="P54" s="16"/>
      <c r="U54" s="3"/>
    </row>
    <row r="55" spans="2:22" ht="15">
      <c r="B55" s="5" t="s">
        <v>374</v>
      </c>
      <c r="C55" s="5"/>
      <c r="D55" s="5"/>
      <c r="E55" s="5"/>
      <c r="F55" s="5"/>
      <c r="G55" s="324">
        <f>'Payslip-outgoing-purchase'!O20</f>
        <v>364.1053</v>
      </c>
      <c r="H55" s="5"/>
      <c r="I55" s="5"/>
      <c r="J55" s="5"/>
      <c r="K55" s="5"/>
      <c r="L55" s="5"/>
      <c r="M55" s="5"/>
      <c r="N55" s="5"/>
      <c r="O55" s="5"/>
      <c r="P55" s="5"/>
    </row>
    <row r="56" spans="2:22" ht="15">
      <c r="B56" s="5" t="s">
        <v>50</v>
      </c>
      <c r="C56" s="5"/>
      <c r="D56" s="5"/>
      <c r="E56" s="16"/>
      <c r="F56" s="16" t="str">
        <f>F10</f>
        <v>HUF</v>
      </c>
      <c r="G56" s="18">
        <f>G10</f>
        <v>42925000</v>
      </c>
      <c r="H56" s="22" t="s">
        <v>38</v>
      </c>
      <c r="I56" s="23">
        <f>'PurchaseInvoice-correct'!C47</f>
        <v>0.03</v>
      </c>
      <c r="J56" s="24" t="s">
        <v>39</v>
      </c>
      <c r="K56" s="5"/>
      <c r="L56" s="18">
        <f>G56-(G56*I56)</f>
        <v>41637250</v>
      </c>
      <c r="M56" s="18"/>
      <c r="N56" s="5"/>
      <c r="O56" s="5"/>
      <c r="P56" s="5"/>
    </row>
    <row r="57" spans="2:22" ht="15">
      <c r="B57" s="5"/>
      <c r="C57" s="5"/>
      <c r="D57" s="5"/>
      <c r="E57" s="16"/>
      <c r="F57" s="16"/>
      <c r="G57" s="5"/>
      <c r="H57" s="5"/>
      <c r="I57" s="5"/>
      <c r="J57" s="25" t="str">
        <f>F11</f>
        <v>÷</v>
      </c>
      <c r="K57" s="26"/>
      <c r="L57" s="323">
        <f>G55</f>
        <v>364.1053</v>
      </c>
      <c r="M57" s="21"/>
      <c r="N57" s="5"/>
      <c r="O57" s="5"/>
      <c r="P57" s="5"/>
    </row>
    <row r="58" spans="2:22" ht="15">
      <c r="B58" s="5"/>
      <c r="C58" s="5"/>
      <c r="D58" s="5"/>
      <c r="E58" s="16"/>
      <c r="F58" s="16"/>
      <c r="G58" s="18"/>
      <c r="H58" s="5"/>
      <c r="I58" s="5"/>
      <c r="J58" s="16" t="str">
        <f>F12</f>
        <v>€</v>
      </c>
      <c r="K58" s="5"/>
      <c r="L58" s="18">
        <f>L56/L57</f>
        <v>114354.96819189393</v>
      </c>
      <c r="M58" s="18"/>
      <c r="N58" s="5"/>
      <c r="O58" s="5"/>
      <c r="P58" s="16"/>
    </row>
    <row r="59" spans="2:22" ht="15">
      <c r="B59" s="5"/>
      <c r="C59" s="5"/>
      <c r="D59" s="5"/>
      <c r="E59" s="16"/>
      <c r="F59" s="16"/>
      <c r="G59" s="18"/>
      <c r="H59" s="5"/>
      <c r="I59" s="5"/>
      <c r="J59" s="5"/>
      <c r="K59" s="5"/>
      <c r="L59" s="5"/>
      <c r="M59" s="5"/>
      <c r="N59" s="5"/>
      <c r="O59" s="5"/>
      <c r="P59" s="5"/>
    </row>
    <row r="60" spans="2:22" ht="15">
      <c r="B60" s="5"/>
      <c r="C60" s="5"/>
      <c r="D60" s="5"/>
      <c r="E60" s="5"/>
      <c r="F60" s="5"/>
      <c r="G60" s="5"/>
      <c r="H60" s="5"/>
      <c r="I60" s="5"/>
      <c r="J60" s="5"/>
      <c r="K60" s="5"/>
      <c r="L60" s="5"/>
      <c r="M60" s="5"/>
      <c r="N60" s="5"/>
      <c r="O60" s="5"/>
      <c r="P60" s="5"/>
    </row>
    <row r="61" spans="2:22" ht="15.6">
      <c r="B61" s="15" t="s">
        <v>51</v>
      </c>
      <c r="C61" s="5"/>
      <c r="D61" s="5"/>
      <c r="E61" s="5"/>
      <c r="F61" s="5"/>
      <c r="G61" s="5"/>
      <c r="H61" s="5"/>
      <c r="I61" s="5"/>
      <c r="J61" s="5"/>
      <c r="K61" s="5"/>
      <c r="L61" s="5"/>
      <c r="M61" s="5"/>
      <c r="N61" s="5"/>
      <c r="O61" s="5"/>
      <c r="P61" s="16"/>
    </row>
    <row r="62" spans="2:22" s="192" customFormat="1" ht="18" customHeight="1">
      <c r="B62" s="194">
        <f>'Bank Statement-noInfo'!I5</f>
        <v>44874</v>
      </c>
      <c r="C62" s="193" t="s">
        <v>33</v>
      </c>
      <c r="D62" s="543">
        <f>'Bank Statement-noInfo'!K5</f>
        <v>3</v>
      </c>
      <c r="E62" s="519">
        <f>L15</f>
        <v>33790</v>
      </c>
      <c r="F62" s="505" t="str">
        <f>N15</f>
        <v>István Molnár Kft.</v>
      </c>
      <c r="G62" s="505"/>
      <c r="H62" s="505"/>
      <c r="I62" s="520">
        <f>L58</f>
        <v>114354.96819189393</v>
      </c>
      <c r="J62" s="501"/>
      <c r="K62" s="501" t="s">
        <v>36</v>
      </c>
      <c r="L62" s="505">
        <f>Information!I12</f>
        <v>2800</v>
      </c>
      <c r="M62" s="505"/>
      <c r="N62" s="505" t="str">
        <f>Information!J12</f>
        <v>Bank</v>
      </c>
      <c r="O62" s="505"/>
      <c r="P62" s="506">
        <f>I62+I63</f>
        <v>114360.76819189393</v>
      </c>
      <c r="Q62" s="284" t="s">
        <v>413</v>
      </c>
      <c r="V62"/>
    </row>
    <row r="63" spans="2:22" s="192" customFormat="1" ht="18" customHeight="1">
      <c r="B63" s="194"/>
      <c r="C63" s="193"/>
      <c r="D63" s="193"/>
      <c r="E63" s="521">
        <f>Information!I13</f>
        <v>7790</v>
      </c>
      <c r="F63" s="522" t="str">
        <f>Information!J13</f>
        <v>Bank charges on transfers</v>
      </c>
      <c r="G63" s="522"/>
      <c r="H63" s="522"/>
      <c r="I63" s="523">
        <f>'PurchaseInvoice-correct'!V26</f>
        <v>5.8</v>
      </c>
      <c r="J63" s="508"/>
      <c r="K63" s="508" t="s">
        <v>36</v>
      </c>
      <c r="L63" s="522"/>
      <c r="M63" s="522"/>
      <c r="N63" s="522"/>
      <c r="O63" s="522"/>
      <c r="P63" s="524"/>
      <c r="Q63" s="279" t="s">
        <v>163</v>
      </c>
      <c r="V63"/>
    </row>
    <row r="64" spans="2:22" ht="15">
      <c r="B64" s="5"/>
      <c r="C64" s="5"/>
      <c r="D64" s="5"/>
      <c r="E64" s="5"/>
      <c r="F64" s="5"/>
      <c r="G64" s="5"/>
      <c r="H64" s="5"/>
      <c r="I64" s="5"/>
      <c r="J64" s="5"/>
      <c r="K64" s="5"/>
      <c r="L64" s="5"/>
      <c r="M64" s="5"/>
      <c r="N64" s="5"/>
      <c r="O64" s="5"/>
      <c r="P64" s="16"/>
      <c r="Q64" s="34"/>
    </row>
    <row r="65" spans="2:17" ht="15">
      <c r="B65" s="5" t="s">
        <v>42</v>
      </c>
      <c r="C65" s="5"/>
      <c r="D65" s="5"/>
      <c r="E65" s="5"/>
      <c r="F65" s="5"/>
      <c r="G65" s="5"/>
      <c r="H65" s="5"/>
      <c r="I65" s="5"/>
      <c r="J65" s="5"/>
      <c r="K65" s="5"/>
      <c r="L65" s="5"/>
      <c r="M65" s="5"/>
      <c r="N65" s="5"/>
      <c r="O65" s="5"/>
      <c r="P65" s="5"/>
      <c r="Q65" s="34"/>
    </row>
    <row r="66" spans="2:17" ht="15">
      <c r="B66" s="5"/>
      <c r="C66" s="5"/>
      <c r="D66" s="5"/>
      <c r="E66" s="5"/>
      <c r="F66" s="5"/>
      <c r="G66" s="5"/>
      <c r="H66" s="5"/>
      <c r="I66" s="5"/>
      <c r="J66" s="5"/>
      <c r="K66" s="5"/>
      <c r="L66" s="5"/>
      <c r="M66" s="5"/>
      <c r="N66" s="5"/>
      <c r="O66" s="5"/>
      <c r="P66" s="5"/>
      <c r="Q66" s="34"/>
    </row>
    <row r="67" spans="2:17" ht="36" customHeight="1">
      <c r="B67" s="194">
        <f>B62</f>
        <v>44874</v>
      </c>
      <c r="C67" s="193" t="str">
        <f>C62</f>
        <v>B</v>
      </c>
      <c r="D67" s="543">
        <f>D62</f>
        <v>3</v>
      </c>
      <c r="E67" s="698">
        <f>E62</f>
        <v>33790</v>
      </c>
      <c r="F67" s="497" t="str">
        <f>F62</f>
        <v>István Molnár Kft.</v>
      </c>
      <c r="G67" s="497"/>
      <c r="H67" s="497"/>
      <c r="I67" s="516">
        <f>I62</f>
        <v>114354.96819189393</v>
      </c>
      <c r="J67" s="497"/>
      <c r="K67" s="497" t="str">
        <f>K62</f>
        <v>/</v>
      </c>
      <c r="L67" s="498">
        <f>L62</f>
        <v>2800</v>
      </c>
      <c r="M67" s="498"/>
      <c r="N67" s="497" t="str">
        <f>N62</f>
        <v>Bank</v>
      </c>
      <c r="O67" s="497"/>
      <c r="P67" s="500">
        <f>I62</f>
        <v>114354.96819189393</v>
      </c>
      <c r="Q67" s="284" t="s">
        <v>413</v>
      </c>
    </row>
    <row r="68" spans="2:17" ht="15">
      <c r="B68" s="5"/>
      <c r="C68" s="5"/>
      <c r="D68" s="5"/>
      <c r="E68" s="5"/>
      <c r="F68" s="5"/>
      <c r="G68" s="5"/>
      <c r="H68" s="5"/>
      <c r="I68" s="5"/>
      <c r="J68" s="5"/>
      <c r="K68" s="5"/>
      <c r="L68" s="5"/>
      <c r="M68" s="5"/>
      <c r="N68" s="5"/>
      <c r="O68" s="5"/>
      <c r="P68" s="5"/>
      <c r="Q68" s="34"/>
    </row>
    <row r="69" spans="2:17" ht="36" customHeight="1">
      <c r="B69" s="194">
        <f>B62</f>
        <v>44874</v>
      </c>
      <c r="C69" s="193" t="str">
        <f>C62</f>
        <v>B</v>
      </c>
      <c r="D69" s="543">
        <f>D62</f>
        <v>3</v>
      </c>
      <c r="E69" s="698">
        <f>E63</f>
        <v>7790</v>
      </c>
      <c r="F69" s="497" t="str">
        <f>F63</f>
        <v>Bank charges on transfers</v>
      </c>
      <c r="G69" s="497"/>
      <c r="H69" s="497"/>
      <c r="I69" s="700">
        <f>I63</f>
        <v>5.8</v>
      </c>
      <c r="J69" s="497"/>
      <c r="K69" s="497" t="str">
        <f>K63</f>
        <v>/</v>
      </c>
      <c r="L69" s="498">
        <f>L62</f>
        <v>2800</v>
      </c>
      <c r="M69" s="498"/>
      <c r="N69" s="497" t="str">
        <f>N62</f>
        <v>Bank</v>
      </c>
      <c r="O69" s="497"/>
      <c r="P69" s="701">
        <f>I63</f>
        <v>5.8</v>
      </c>
      <c r="Q69" s="279" t="s">
        <v>163</v>
      </c>
    </row>
    <row r="70" spans="2:17" ht="15">
      <c r="B70" s="5"/>
      <c r="C70" s="5"/>
      <c r="D70" s="5"/>
      <c r="E70" s="5"/>
      <c r="F70" s="5"/>
      <c r="G70" s="5"/>
      <c r="H70" s="5"/>
      <c r="I70" s="5"/>
      <c r="J70" s="5"/>
      <c r="K70" s="5"/>
      <c r="L70" s="5"/>
      <c r="M70" s="5"/>
      <c r="N70" s="27"/>
      <c r="O70" s="5"/>
      <c r="P70" s="5"/>
    </row>
    <row r="71" spans="2:17" ht="15">
      <c r="B71" s="5" t="s">
        <v>43</v>
      </c>
      <c r="C71" s="5"/>
      <c r="D71" s="5"/>
      <c r="E71" s="5"/>
      <c r="F71" s="5"/>
      <c r="G71" s="5"/>
      <c r="H71" s="5"/>
      <c r="I71" s="5"/>
      <c r="J71" s="5"/>
      <c r="K71" s="5"/>
      <c r="L71" s="5"/>
      <c r="M71" s="5"/>
      <c r="N71" s="5"/>
      <c r="O71" s="5"/>
      <c r="P71" s="5"/>
    </row>
    <row r="72" spans="2:17" ht="15">
      <c r="B72" s="5" t="s">
        <v>56</v>
      </c>
      <c r="C72" s="5"/>
      <c r="D72" s="5"/>
      <c r="E72" s="5"/>
      <c r="F72" s="5"/>
      <c r="G72" s="5"/>
      <c r="H72" s="5"/>
      <c r="I72" s="5"/>
      <c r="J72" s="5"/>
      <c r="K72" s="5"/>
      <c r="L72" s="5"/>
      <c r="M72" s="5"/>
      <c r="N72" s="5"/>
      <c r="O72" s="5"/>
      <c r="P72" s="5"/>
    </row>
    <row r="73" spans="2:17" ht="15">
      <c r="B73" s="5"/>
      <c r="C73" s="5"/>
      <c r="D73" s="5"/>
      <c r="E73" s="5"/>
      <c r="F73" s="5"/>
      <c r="G73" s="5"/>
      <c r="H73" s="5"/>
      <c r="I73" s="5"/>
      <c r="J73" s="5"/>
      <c r="K73" s="5"/>
      <c r="L73" s="5"/>
      <c r="M73" s="5"/>
      <c r="N73" s="5"/>
      <c r="O73" s="5"/>
      <c r="P73" s="5"/>
    </row>
    <row r="74" spans="2:17" ht="15">
      <c r="B74" s="5" t="s">
        <v>44</v>
      </c>
      <c r="C74" s="5"/>
      <c r="D74" s="5"/>
      <c r="E74" s="5"/>
      <c r="F74" s="5"/>
      <c r="G74" s="18">
        <f>G56</f>
        <v>42925000</v>
      </c>
      <c r="H74" s="18"/>
      <c r="I74" s="5"/>
      <c r="J74" s="5"/>
      <c r="K74" s="5"/>
      <c r="L74" s="5"/>
      <c r="M74" s="5"/>
      <c r="N74" s="5"/>
      <c r="O74" s="5"/>
      <c r="P74" s="5"/>
    </row>
    <row r="75" spans="2:17" ht="15.6">
      <c r="B75" s="5"/>
      <c r="C75" s="5"/>
      <c r="D75" s="5"/>
      <c r="E75" s="5"/>
      <c r="F75" s="28" t="s">
        <v>45</v>
      </c>
      <c r="G75" s="29">
        <f>'PurchaseInvoice-correct'!C47</f>
        <v>0.03</v>
      </c>
      <c r="H75" s="30"/>
      <c r="I75" s="5"/>
      <c r="J75" s="5"/>
      <c r="K75" s="5"/>
      <c r="L75" s="5"/>
      <c r="M75" s="5"/>
      <c r="N75" s="5"/>
      <c r="O75" s="5"/>
      <c r="P75" s="5"/>
    </row>
    <row r="76" spans="2:17" ht="15.6">
      <c r="B76" s="5"/>
      <c r="C76" s="5"/>
      <c r="D76" s="5"/>
      <c r="E76" s="31" t="s">
        <v>46</v>
      </c>
      <c r="F76" s="36" t="str">
        <f>F10</f>
        <v>HUF</v>
      </c>
      <c r="G76" s="36">
        <f>G74*G75</f>
        <v>1287750</v>
      </c>
      <c r="H76" s="32" t="s">
        <v>35</v>
      </c>
      <c r="I76" s="324">
        <f>G55</f>
        <v>364.1053</v>
      </c>
      <c r="J76" s="33" t="s">
        <v>46</v>
      </c>
      <c r="K76" s="5"/>
      <c r="L76" s="17"/>
      <c r="M76" s="17" t="str">
        <f>F12</f>
        <v>€</v>
      </c>
      <c r="N76" s="38">
        <f>G76/I76</f>
        <v>3536.7515935637302</v>
      </c>
      <c r="O76" s="5"/>
      <c r="P76" s="16"/>
    </row>
    <row r="77" spans="2:17" ht="15.6">
      <c r="B77" s="5"/>
      <c r="C77" s="5"/>
      <c r="D77" s="5"/>
      <c r="E77" s="31"/>
      <c r="F77" s="36"/>
      <c r="G77" s="36"/>
      <c r="H77" s="32"/>
      <c r="I77" s="21"/>
      <c r="J77" s="33"/>
      <c r="K77" s="5"/>
      <c r="L77" s="17"/>
      <c r="M77" s="17"/>
      <c r="N77" s="38"/>
      <c r="O77" s="5"/>
      <c r="P77" s="5"/>
    </row>
    <row r="78" spans="2:17" ht="15.6">
      <c r="B78" s="15" t="s">
        <v>57</v>
      </c>
      <c r="C78" s="5"/>
      <c r="D78" s="5"/>
      <c r="E78" s="5"/>
      <c r="F78" s="5"/>
      <c r="G78" s="5"/>
      <c r="H78" s="5"/>
      <c r="I78" s="5"/>
      <c r="J78" s="5"/>
      <c r="K78" s="5"/>
      <c r="L78" s="5"/>
      <c r="M78" s="5"/>
      <c r="N78" s="5"/>
      <c r="O78" s="5"/>
      <c r="P78" s="16"/>
    </row>
    <row r="79" spans="2:17" ht="36" customHeight="1">
      <c r="B79" s="194">
        <f>B62</f>
        <v>44874</v>
      </c>
      <c r="C79" s="193" t="str">
        <f>C62</f>
        <v>B</v>
      </c>
      <c r="D79" s="543">
        <f>D62</f>
        <v>3</v>
      </c>
      <c r="E79" s="514">
        <f>E62</f>
        <v>33790</v>
      </c>
      <c r="F79" s="498" t="str">
        <f>F62</f>
        <v>István Molnár Kft.</v>
      </c>
      <c r="G79" s="497"/>
      <c r="H79" s="497"/>
      <c r="I79" s="498"/>
      <c r="J79" s="497"/>
      <c r="K79" s="497" t="s">
        <v>36</v>
      </c>
      <c r="L79" s="498">
        <f>Information!I29</f>
        <v>5885</v>
      </c>
      <c r="M79" s="498"/>
      <c r="N79" s="742" t="str">
        <f>Information!J29</f>
        <v>Cash discount from suppliers on EU purchases</v>
      </c>
      <c r="O79" s="742"/>
      <c r="P79" s="500">
        <f>N76</f>
        <v>3536.7515935637302</v>
      </c>
      <c r="Q79" s="279" t="s">
        <v>164</v>
      </c>
    </row>
    <row r="80" spans="2:17" ht="15">
      <c r="B80" s="5"/>
      <c r="C80" s="5"/>
      <c r="D80" s="5"/>
      <c r="E80" s="5"/>
      <c r="F80" s="5"/>
      <c r="G80" s="5"/>
      <c r="H80" s="5"/>
      <c r="I80" s="5"/>
      <c r="J80" s="5"/>
      <c r="K80" s="5"/>
      <c r="L80" s="5"/>
      <c r="M80" s="5"/>
      <c r="N80" s="5"/>
      <c r="O80" s="5"/>
      <c r="P80" s="16"/>
    </row>
    <row r="81" spans="2:22" ht="15">
      <c r="B81" s="5"/>
      <c r="C81" s="5"/>
      <c r="D81" s="5"/>
      <c r="E81" s="5"/>
      <c r="F81" s="5"/>
      <c r="G81" s="5"/>
      <c r="H81" s="5"/>
      <c r="I81" s="5"/>
      <c r="J81" s="5"/>
      <c r="K81" s="5"/>
      <c r="L81" s="5"/>
      <c r="M81" s="5"/>
      <c r="N81" s="5"/>
      <c r="O81" s="5"/>
      <c r="P81" s="16"/>
    </row>
    <row r="82" spans="2:22" ht="15.6">
      <c r="B82" s="5" t="s">
        <v>59</v>
      </c>
      <c r="C82" s="5"/>
      <c r="D82" s="5"/>
      <c r="E82" s="5"/>
      <c r="F82" s="5"/>
      <c r="G82" s="5"/>
      <c r="H82" s="5"/>
      <c r="I82" s="17" t="str">
        <f>M76</f>
        <v>€</v>
      </c>
      <c r="J82" s="18">
        <f>N76</f>
        <v>3536.7515935637302</v>
      </c>
      <c r="K82" s="37" t="s">
        <v>61</v>
      </c>
      <c r="L82" s="23">
        <v>0.2</v>
      </c>
      <c r="M82" s="40" t="s">
        <v>46</v>
      </c>
      <c r="N82" s="41">
        <f>J82*L82</f>
        <v>707.35031871274612</v>
      </c>
      <c r="O82" s="5"/>
      <c r="P82" s="16"/>
    </row>
    <row r="83" spans="2:22" ht="15">
      <c r="B83" s="5"/>
      <c r="C83" s="5"/>
      <c r="D83" s="5"/>
      <c r="E83" s="5"/>
      <c r="F83" s="5"/>
      <c r="G83" s="5"/>
      <c r="H83" s="5"/>
      <c r="I83" s="5"/>
      <c r="J83" s="5"/>
      <c r="K83" s="5"/>
      <c r="L83" s="5"/>
      <c r="M83" s="5"/>
      <c r="N83" s="5"/>
      <c r="O83" s="5"/>
      <c r="P83" s="5"/>
    </row>
    <row r="84" spans="2:22" ht="15.6">
      <c r="B84" s="15" t="s">
        <v>60</v>
      </c>
      <c r="C84" s="5"/>
      <c r="D84" s="5"/>
      <c r="E84" s="5"/>
      <c r="F84" s="5"/>
      <c r="G84" s="5"/>
      <c r="H84" s="5"/>
      <c r="I84" s="5"/>
      <c r="J84" s="5"/>
      <c r="K84" s="5"/>
      <c r="L84" s="5"/>
      <c r="M84" s="5"/>
      <c r="N84" s="5"/>
      <c r="O84" s="5"/>
      <c r="P84" s="16"/>
    </row>
    <row r="85" spans="2:22" s="192" customFormat="1" ht="36" customHeight="1">
      <c r="B85" s="194">
        <f>B62</f>
        <v>44874</v>
      </c>
      <c r="C85" s="193" t="str">
        <f>C62</f>
        <v>B</v>
      </c>
      <c r="D85" s="543">
        <f>D62</f>
        <v>3</v>
      </c>
      <c r="E85" s="512">
        <f>L22</f>
        <v>3510</v>
      </c>
      <c r="F85" s="498" t="str">
        <f>N22</f>
        <v>VAT Output on EU Purchases</v>
      </c>
      <c r="G85" s="498"/>
      <c r="H85" s="498"/>
      <c r="I85" s="498"/>
      <c r="J85" s="497"/>
      <c r="K85" s="497" t="s">
        <v>36</v>
      </c>
      <c r="L85" s="499">
        <f>E22</f>
        <v>2510</v>
      </c>
      <c r="M85" s="499"/>
      <c r="N85" s="498" t="str">
        <f>F22</f>
        <v xml:space="preserve">VAT Input on EU Purchases </v>
      </c>
      <c r="O85" s="498"/>
      <c r="P85" s="500">
        <f>N82</f>
        <v>707.35031871274612</v>
      </c>
      <c r="Q85" s="279" t="s">
        <v>413</v>
      </c>
      <c r="V85"/>
    </row>
    <row r="86" spans="2:22" ht="15">
      <c r="B86" s="5"/>
      <c r="C86" s="5"/>
      <c r="D86" s="5"/>
      <c r="E86" s="5"/>
      <c r="F86" s="5"/>
      <c r="G86" s="5"/>
      <c r="H86" s="5"/>
      <c r="I86" s="5"/>
      <c r="J86" s="5"/>
      <c r="K86" s="5"/>
      <c r="L86" s="5"/>
      <c r="M86" s="5"/>
      <c r="N86" s="5"/>
      <c r="O86" s="5"/>
      <c r="P86" s="16"/>
    </row>
    <row r="87" spans="2:22" ht="15">
      <c r="B87" s="5"/>
      <c r="C87" s="5"/>
      <c r="D87" s="5"/>
      <c r="E87" s="5"/>
      <c r="F87" s="5"/>
      <c r="G87" s="5"/>
      <c r="H87" s="5"/>
      <c r="I87" s="5"/>
      <c r="J87" s="5"/>
      <c r="K87" s="5"/>
      <c r="L87" s="5"/>
      <c r="M87" s="5"/>
      <c r="N87" s="5"/>
      <c r="O87" s="5"/>
      <c r="P87" s="5"/>
    </row>
    <row r="88" spans="2:22" ht="15">
      <c r="B88" s="5"/>
      <c r="C88" s="5"/>
      <c r="D88" s="5"/>
      <c r="E88" s="5"/>
      <c r="F88" s="5"/>
      <c r="G88" s="5"/>
      <c r="H88" s="5"/>
      <c r="I88" s="5"/>
      <c r="J88" s="5"/>
      <c r="K88" s="5"/>
      <c r="L88" s="5"/>
      <c r="M88" s="5"/>
      <c r="N88" s="5"/>
      <c r="O88" s="5"/>
      <c r="P88" s="5"/>
    </row>
    <row r="89" spans="2:22" ht="15">
      <c r="B89" s="5"/>
      <c r="C89" s="5"/>
      <c r="D89" s="5"/>
      <c r="E89" s="5"/>
      <c r="F89" s="5"/>
      <c r="G89" s="5"/>
      <c r="H89" s="5"/>
      <c r="I89" s="5"/>
      <c r="J89" s="5"/>
      <c r="K89" s="5"/>
      <c r="L89" s="5"/>
      <c r="M89" s="5"/>
      <c r="N89" s="5"/>
      <c r="O89" s="5"/>
      <c r="P89" s="5"/>
    </row>
    <row r="90" spans="2:22" ht="15.6">
      <c r="B90" s="15" t="s">
        <v>109</v>
      </c>
      <c r="C90" s="5"/>
      <c r="D90" s="5"/>
      <c r="E90" s="5"/>
      <c r="F90" s="5"/>
      <c r="G90" s="5"/>
      <c r="H90" s="5"/>
      <c r="I90" s="5"/>
      <c r="J90" s="5"/>
      <c r="K90" s="5"/>
      <c r="L90" s="5"/>
      <c r="M90" s="5"/>
      <c r="N90" s="5"/>
      <c r="O90" s="5"/>
      <c r="P90" s="5"/>
    </row>
    <row r="91" spans="2:22" ht="15">
      <c r="B91" s="5" t="s">
        <v>62</v>
      </c>
      <c r="C91" s="5"/>
      <c r="D91" s="5"/>
      <c r="E91" s="5"/>
      <c r="F91" s="5"/>
      <c r="G91" s="5"/>
      <c r="H91" s="5"/>
      <c r="I91" s="5"/>
      <c r="J91" s="5"/>
      <c r="K91" s="5"/>
      <c r="L91" s="5"/>
      <c r="M91" s="5"/>
      <c r="N91" s="5"/>
      <c r="O91" s="5"/>
      <c r="P91" s="5"/>
    </row>
    <row r="92" spans="2:22" ht="15">
      <c r="B92" s="5"/>
      <c r="C92" s="5"/>
      <c r="D92" s="5"/>
      <c r="E92" s="5"/>
      <c r="F92" s="5"/>
      <c r="G92" s="5"/>
      <c r="H92" s="5"/>
      <c r="I92" s="5"/>
      <c r="J92" s="5" t="s">
        <v>411</v>
      </c>
      <c r="K92" s="5"/>
      <c r="L92" s="5"/>
      <c r="M92" s="5"/>
      <c r="N92" s="5"/>
      <c r="O92" s="5"/>
      <c r="P92" s="5"/>
    </row>
    <row r="93" spans="2:22" ht="15.6">
      <c r="B93" s="5" t="s">
        <v>47</v>
      </c>
      <c r="C93" s="5"/>
      <c r="D93" s="5"/>
      <c r="E93" s="16"/>
      <c r="F93" s="16" t="str">
        <f>F12</f>
        <v>€</v>
      </c>
      <c r="G93" s="18">
        <f>ROUND('PurchaseInvoice-correct'!L44/'PurchaseInvoice-correct'!Y16,2)</f>
        <v>117844.56</v>
      </c>
      <c r="H93" s="5"/>
      <c r="I93" s="5"/>
      <c r="J93" s="18">
        <f>G10</f>
        <v>42925000</v>
      </c>
      <c r="K93" s="715" t="s">
        <v>35</v>
      </c>
      <c r="L93" s="716">
        <f>G11</f>
        <v>364.25099999999998</v>
      </c>
      <c r="M93" s="5"/>
      <c r="N93" s="5"/>
      <c r="O93" s="5"/>
      <c r="P93" s="5"/>
    </row>
    <row r="94" spans="2:22" ht="15.6">
      <c r="B94" s="5" t="s">
        <v>65</v>
      </c>
      <c r="C94" s="5"/>
      <c r="D94" s="5"/>
      <c r="E94" s="16"/>
      <c r="F94" s="16" t="str">
        <f>F12</f>
        <v>€</v>
      </c>
      <c r="G94" s="18">
        <f>ROUND('PurchaseInvoice-correct'!L44/'PurchaseInvoice-correct'!W24,2)</f>
        <v>117891.72</v>
      </c>
      <c r="H94" s="5"/>
      <c r="I94" s="5"/>
      <c r="J94" s="18">
        <f>J93</f>
        <v>42925000</v>
      </c>
      <c r="K94" s="715" t="s">
        <v>35</v>
      </c>
      <c r="L94" s="716">
        <f>G55</f>
        <v>364.1053</v>
      </c>
      <c r="M94" s="5"/>
      <c r="N94" s="5"/>
      <c r="O94" s="5"/>
      <c r="P94" s="5"/>
    </row>
    <row r="95" spans="2:22" ht="15">
      <c r="B95" s="5"/>
      <c r="C95" s="5"/>
      <c r="D95" s="5"/>
      <c r="E95" s="16"/>
      <c r="F95" s="19" t="str">
        <f>F12</f>
        <v>€</v>
      </c>
      <c r="G95" s="20">
        <f>G93-G94</f>
        <v>-47.160000000003492</v>
      </c>
      <c r="H95" s="5" t="str">
        <f>IF(G93&gt;G94,"paid less","paid more")</f>
        <v>paid more</v>
      </c>
      <c r="I95" s="5"/>
      <c r="J95" s="5"/>
      <c r="K95" s="5"/>
      <c r="L95" s="5"/>
      <c r="M95" s="5"/>
      <c r="N95" s="5"/>
      <c r="O95" s="5"/>
      <c r="P95" s="16"/>
    </row>
    <row r="96" spans="2:22" ht="15">
      <c r="B96" s="5"/>
      <c r="C96" s="5"/>
      <c r="D96" s="5"/>
      <c r="E96" s="5"/>
      <c r="F96" s="5"/>
      <c r="G96" s="5"/>
      <c r="H96" s="5"/>
      <c r="I96" s="5"/>
      <c r="J96" s="5"/>
      <c r="K96" s="5"/>
      <c r="L96" s="5"/>
      <c r="M96" s="5"/>
      <c r="N96" s="5"/>
      <c r="O96" s="5"/>
      <c r="P96" s="16"/>
    </row>
    <row r="97" spans="1:19" ht="36" customHeight="1">
      <c r="B97" s="194">
        <f>B62</f>
        <v>44874</v>
      </c>
      <c r="C97" s="193"/>
      <c r="D97" s="193"/>
      <c r="E97" s="512">
        <f>IF(G93&gt;G94,L15,Information!I32)</f>
        <v>7815</v>
      </c>
      <c r="F97" s="499"/>
      <c r="G97" s="742" t="str">
        <f>IF(G93&gt;G94,N15,Information!J32)</f>
        <v>Foreign currency losses</v>
      </c>
      <c r="H97" s="742"/>
      <c r="I97" s="518"/>
      <c r="J97" s="497"/>
      <c r="K97" s="497" t="s">
        <v>36</v>
      </c>
      <c r="L97" s="498">
        <f>IF(G93&gt;G94,Information!I33,L15)</f>
        <v>33790</v>
      </c>
      <c r="M97" s="498"/>
      <c r="N97" s="498" t="str">
        <f>IF(G93&gt;G94,Information!J33,N15)</f>
        <v>István Molnár Kft.</v>
      </c>
      <c r="O97" s="498"/>
      <c r="P97" s="500">
        <f>IF(G93&gt;G94,G95,G95*-1)</f>
        <v>47.160000000003492</v>
      </c>
      <c r="Q97" s="279" t="s">
        <v>163</v>
      </c>
    </row>
    <row r="98" spans="1:19" ht="15">
      <c r="B98" s="5"/>
      <c r="C98" s="5"/>
      <c r="D98" s="5"/>
      <c r="E98" s="5"/>
      <c r="F98" s="5"/>
      <c r="G98" s="5"/>
      <c r="H98" s="5"/>
      <c r="I98" s="5"/>
      <c r="J98" s="5"/>
      <c r="K98" s="5"/>
      <c r="L98" s="5"/>
      <c r="M98" s="5"/>
      <c r="N98" s="5"/>
      <c r="O98" s="5"/>
      <c r="P98" s="119"/>
    </row>
    <row r="99" spans="1:19" ht="15">
      <c r="B99" s="5"/>
      <c r="C99" s="5"/>
      <c r="D99" s="5"/>
      <c r="E99" s="5"/>
      <c r="F99" s="5"/>
      <c r="G99" s="5"/>
      <c r="H99" s="5"/>
      <c r="I99" s="5"/>
      <c r="J99" s="5"/>
      <c r="K99" s="5"/>
      <c r="L99" s="5"/>
      <c r="M99" s="5"/>
      <c r="N99" s="5"/>
      <c r="O99" s="5"/>
      <c r="P99" s="5"/>
    </row>
    <row r="100" spans="1:19" ht="15.6">
      <c r="A100" s="5"/>
      <c r="B100" s="15" t="s">
        <v>108</v>
      </c>
      <c r="C100" s="5"/>
      <c r="D100" s="5"/>
      <c r="E100" s="5"/>
      <c r="F100" s="5"/>
      <c r="G100" s="5"/>
      <c r="H100" s="5"/>
      <c r="I100" s="5"/>
      <c r="J100" s="5"/>
      <c r="K100" s="5"/>
      <c r="L100" s="5"/>
      <c r="M100" s="5"/>
      <c r="N100" s="5"/>
      <c r="O100" s="5"/>
      <c r="P100" s="5"/>
      <c r="Q100" s="5"/>
      <c r="R100" s="5"/>
      <c r="S100" s="5"/>
    </row>
    <row r="101" spans="1:19" ht="15">
      <c r="A101" s="5"/>
      <c r="B101" s="5"/>
      <c r="C101" s="5"/>
      <c r="D101" s="5"/>
      <c r="E101" s="5"/>
      <c r="F101" s="5"/>
      <c r="G101" s="5"/>
      <c r="H101" s="5"/>
      <c r="I101" s="5"/>
      <c r="J101" s="5"/>
      <c r="K101" s="5"/>
      <c r="L101" s="5"/>
      <c r="M101" s="5"/>
      <c r="N101" s="5"/>
      <c r="O101" s="5"/>
      <c r="P101" s="5"/>
      <c r="Q101" s="5"/>
      <c r="R101" s="5"/>
      <c r="S101" s="5"/>
    </row>
    <row r="102" spans="1:19" ht="15">
      <c r="A102" s="5"/>
      <c r="B102" s="5" t="s">
        <v>100</v>
      </c>
      <c r="C102" s="5"/>
      <c r="D102" s="5"/>
      <c r="E102" s="5"/>
      <c r="F102" s="5"/>
      <c r="G102" s="5"/>
      <c r="H102" s="5"/>
      <c r="I102" s="5"/>
      <c r="J102" s="5"/>
      <c r="K102" s="5"/>
      <c r="L102" s="5"/>
      <c r="M102" s="5"/>
      <c r="N102" s="5"/>
      <c r="O102" s="5"/>
      <c r="P102" s="5"/>
      <c r="Q102" s="5"/>
      <c r="R102" s="5"/>
      <c r="S102" s="5"/>
    </row>
    <row r="103" spans="1:19" ht="36" customHeight="1">
      <c r="A103" s="5"/>
      <c r="B103" s="194">
        <f>B62</f>
        <v>44874</v>
      </c>
      <c r="C103" s="193" t="s">
        <v>33</v>
      </c>
      <c r="D103" s="543">
        <f>D62</f>
        <v>3</v>
      </c>
      <c r="E103" s="512">
        <f>L30</f>
        <v>33087</v>
      </c>
      <c r="F103" s="499"/>
      <c r="G103" s="742" t="str">
        <f>N30</f>
        <v>SPEEDY GmbH</v>
      </c>
      <c r="H103" s="742"/>
      <c r="I103" s="518"/>
      <c r="J103" s="516"/>
      <c r="K103" s="497" t="s">
        <v>36</v>
      </c>
      <c r="L103" s="498">
        <f>Information!I12</f>
        <v>2800</v>
      </c>
      <c r="M103" s="498"/>
      <c r="N103" s="498" t="str">
        <f>Information!J12</f>
        <v>Bank</v>
      </c>
      <c r="O103" s="498"/>
      <c r="P103" s="500">
        <f>'Transport CostsPur'!L30</f>
        <v>10101.6</v>
      </c>
      <c r="Q103" s="193" t="s">
        <v>413</v>
      </c>
      <c r="R103" s="5"/>
      <c r="S103" s="5"/>
    </row>
    <row r="104" spans="1:19" ht="15">
      <c r="A104" s="5"/>
      <c r="B104" s="5"/>
      <c r="C104" s="5"/>
      <c r="D104" s="5"/>
      <c r="E104" s="5"/>
      <c r="F104" s="5"/>
      <c r="G104" s="5"/>
      <c r="H104" s="5"/>
      <c r="I104" s="5"/>
      <c r="J104" s="5"/>
      <c r="K104" s="5"/>
      <c r="L104" s="5"/>
      <c r="M104" s="5"/>
      <c r="N104" s="5"/>
      <c r="O104" s="5"/>
      <c r="P104" s="16"/>
      <c r="Q104" s="5"/>
      <c r="R104" s="5"/>
      <c r="S104" s="5"/>
    </row>
    <row r="105" spans="1:19" ht="15">
      <c r="A105" s="5"/>
      <c r="B105" s="5"/>
      <c r="C105" s="5"/>
      <c r="D105" s="5"/>
      <c r="E105" s="5"/>
      <c r="F105" s="5"/>
      <c r="G105" s="5"/>
      <c r="H105" s="5"/>
      <c r="I105" s="5"/>
      <c r="J105" s="5"/>
      <c r="K105" s="5"/>
      <c r="L105" s="5"/>
      <c r="M105" s="5"/>
      <c r="N105" s="5"/>
      <c r="O105" s="5"/>
      <c r="P105" s="5"/>
      <c r="Q105" s="5"/>
      <c r="R105" s="5"/>
      <c r="S105" s="5"/>
    </row>
    <row r="106" spans="1:19" ht="15.6">
      <c r="A106" s="5"/>
      <c r="B106" s="15" t="s">
        <v>260</v>
      </c>
      <c r="C106" s="5"/>
      <c r="D106" s="5"/>
      <c r="E106" s="5"/>
      <c r="F106" s="5"/>
      <c r="G106" s="5"/>
      <c r="H106" s="5"/>
      <c r="I106" s="5"/>
      <c r="J106" s="5"/>
      <c r="K106" s="5"/>
      <c r="L106" s="5"/>
      <c r="M106" s="5"/>
      <c r="N106" s="5"/>
      <c r="O106" s="5"/>
      <c r="P106" s="5"/>
      <c r="Q106" s="5"/>
      <c r="R106" s="5"/>
      <c r="S106" s="5"/>
    </row>
    <row r="107" spans="1:19" ht="15">
      <c r="A107" s="5"/>
      <c r="B107" s="5"/>
      <c r="C107" s="5"/>
      <c r="D107" s="5"/>
      <c r="E107" s="5"/>
      <c r="F107" s="5"/>
      <c r="G107" s="5"/>
      <c r="H107" s="5"/>
      <c r="I107" s="5"/>
      <c r="J107" s="5"/>
      <c r="K107" s="5"/>
      <c r="L107" s="5"/>
      <c r="M107" s="5"/>
      <c r="N107" s="5"/>
      <c r="O107" s="5"/>
      <c r="P107" s="5"/>
      <c r="Q107" s="5"/>
      <c r="R107" s="5"/>
      <c r="S107" s="5"/>
    </row>
    <row r="108" spans="1:19" ht="15">
      <c r="A108" s="5"/>
      <c r="B108" s="5" t="s">
        <v>37</v>
      </c>
      <c r="C108" s="5"/>
      <c r="D108" s="5"/>
      <c r="E108" s="5"/>
      <c r="F108" s="5"/>
      <c r="G108" s="321">
        <f>SalesInvoice!U23</f>
        <v>1.0866</v>
      </c>
      <c r="H108" s="5"/>
      <c r="I108" s="5"/>
      <c r="J108" s="5"/>
      <c r="K108" s="5"/>
      <c r="L108" s="5"/>
      <c r="M108" s="5"/>
      <c r="N108" s="5"/>
      <c r="O108" s="5"/>
      <c r="P108" s="5"/>
      <c r="Q108" s="5"/>
      <c r="R108" s="5"/>
      <c r="S108" s="5"/>
    </row>
    <row r="109" spans="1:19" ht="15">
      <c r="A109" s="5"/>
      <c r="B109" s="5" t="s">
        <v>241</v>
      </c>
      <c r="C109" s="5"/>
      <c r="D109" s="5"/>
      <c r="E109" s="5"/>
      <c r="F109" s="18" t="str">
        <f>F38</f>
        <v>CHF</v>
      </c>
      <c r="G109" s="18">
        <f>G38</f>
        <v>9375</v>
      </c>
      <c r="H109" s="33" t="s">
        <v>201</v>
      </c>
      <c r="I109" s="23">
        <f>SalesInvoice!F33</f>
        <v>0.02</v>
      </c>
      <c r="J109" s="37" t="s">
        <v>46</v>
      </c>
      <c r="K109" s="18"/>
      <c r="L109" s="18">
        <f>G109-(G109*I109)</f>
        <v>9187.5</v>
      </c>
      <c r="M109" s="5"/>
      <c r="N109" s="5"/>
      <c r="O109" s="5"/>
      <c r="P109" s="5"/>
      <c r="Q109" s="5"/>
      <c r="R109" s="5"/>
      <c r="S109" s="5"/>
    </row>
    <row r="110" spans="1:19" ht="15">
      <c r="A110" s="5"/>
      <c r="B110" s="5"/>
      <c r="C110" s="5"/>
      <c r="D110" s="5"/>
      <c r="E110" s="5"/>
      <c r="F110" s="5"/>
      <c r="G110" s="5"/>
      <c r="H110" s="5"/>
      <c r="I110" s="5"/>
      <c r="J110" s="5"/>
      <c r="K110" s="26" t="s">
        <v>35</v>
      </c>
      <c r="L110" s="323">
        <f>G108</f>
        <v>1.0866</v>
      </c>
      <c r="M110" s="5"/>
      <c r="N110" s="5"/>
      <c r="O110" s="5"/>
      <c r="P110" s="5"/>
      <c r="Q110" s="5"/>
      <c r="R110" s="5"/>
      <c r="S110" s="5"/>
    </row>
    <row r="111" spans="1:19" ht="15">
      <c r="A111" s="5"/>
      <c r="B111" s="5"/>
      <c r="C111" s="5"/>
      <c r="D111" s="5"/>
      <c r="E111" s="5"/>
      <c r="F111" s="5"/>
      <c r="G111" s="5"/>
      <c r="H111" s="5"/>
      <c r="I111" s="5"/>
      <c r="J111" s="5"/>
      <c r="K111" s="37" t="s">
        <v>46</v>
      </c>
      <c r="L111" s="282">
        <f>L109/L110</f>
        <v>8455.2733296521255</v>
      </c>
      <c r="M111" s="5"/>
      <c r="N111" s="5"/>
      <c r="O111" s="5"/>
      <c r="P111" s="5"/>
      <c r="Q111" s="5"/>
      <c r="R111" s="5"/>
      <c r="S111" s="5"/>
    </row>
    <row r="112" spans="1:19" ht="15">
      <c r="A112" s="5"/>
      <c r="B112" s="5"/>
      <c r="C112" s="5"/>
      <c r="D112" s="5"/>
      <c r="E112" s="5"/>
      <c r="F112" s="5"/>
      <c r="G112" s="5"/>
      <c r="H112" s="5"/>
      <c r="I112" s="5"/>
      <c r="J112" s="5"/>
      <c r="K112" s="326" t="s">
        <v>201</v>
      </c>
      <c r="L112" s="327">
        <f>SalesInvoice!W25</f>
        <v>5.3</v>
      </c>
      <c r="M112" s="5"/>
      <c r="N112" s="5"/>
      <c r="O112" s="5"/>
      <c r="P112" s="5"/>
      <c r="Q112" s="5"/>
      <c r="R112" s="5"/>
      <c r="S112" s="5"/>
    </row>
    <row r="113" spans="1:19" ht="15">
      <c r="A113" s="5"/>
      <c r="B113" s="5"/>
      <c r="C113" s="5"/>
      <c r="D113" s="5"/>
      <c r="E113" s="5"/>
      <c r="F113" s="5"/>
      <c r="G113" s="5"/>
      <c r="H113" s="5"/>
      <c r="I113" s="5"/>
      <c r="J113" s="5"/>
      <c r="K113" s="37" t="s">
        <v>46</v>
      </c>
      <c r="L113" s="282">
        <f>L111-L112</f>
        <v>8449.9733296521263</v>
      </c>
      <c r="M113" s="5"/>
      <c r="N113" s="5"/>
      <c r="O113" s="5"/>
      <c r="P113" s="5"/>
      <c r="Q113" s="5"/>
      <c r="R113" s="5"/>
      <c r="S113" s="5"/>
    </row>
    <row r="114" spans="1:19" ht="15">
      <c r="A114" s="5"/>
      <c r="B114" s="5"/>
      <c r="C114" s="5"/>
      <c r="D114" s="5"/>
      <c r="E114" s="5"/>
      <c r="F114" s="5"/>
      <c r="G114" s="5"/>
      <c r="H114" s="5"/>
      <c r="I114" s="5"/>
      <c r="J114" s="5"/>
      <c r="K114" s="37"/>
      <c r="L114" s="282"/>
      <c r="M114" s="5"/>
      <c r="N114" s="5"/>
      <c r="O114" s="5"/>
      <c r="P114" s="5"/>
      <c r="Q114" s="5"/>
      <c r="R114" s="5"/>
      <c r="S114" s="5"/>
    </row>
    <row r="115" spans="1:19" ht="18" customHeight="1">
      <c r="A115" s="5"/>
      <c r="B115" s="544">
        <f>B62</f>
        <v>44874</v>
      </c>
      <c r="C115" s="16" t="s">
        <v>33</v>
      </c>
      <c r="D115" s="545">
        <f>D62</f>
        <v>3</v>
      </c>
      <c r="E115" s="525">
        <f>Information!I12</f>
        <v>2800</v>
      </c>
      <c r="F115" s="526" t="str">
        <f>Information!J12</f>
        <v>Bank</v>
      </c>
      <c r="G115" s="526"/>
      <c r="H115" s="526"/>
      <c r="I115" s="526"/>
      <c r="J115" s="527">
        <f>SUM((G38-(G38*SalesInvoice!F33))/G108)-J116</f>
        <v>8449.9733296521263</v>
      </c>
      <c r="K115" s="528" t="s">
        <v>36</v>
      </c>
      <c r="L115" s="529">
        <f>E43</f>
        <v>21591</v>
      </c>
      <c r="M115" s="529"/>
      <c r="N115" s="529" t="str">
        <f>F43</f>
        <v>Gagnon AG</v>
      </c>
      <c r="O115" s="526"/>
      <c r="P115" s="530">
        <f>L111</f>
        <v>8455.2733296521255</v>
      </c>
      <c r="Q115" s="283" t="s">
        <v>413</v>
      </c>
      <c r="R115" s="5"/>
      <c r="S115" s="5"/>
    </row>
    <row r="116" spans="1:19" ht="18" customHeight="1">
      <c r="A116" s="5"/>
      <c r="B116" s="5"/>
      <c r="C116" s="5"/>
      <c r="D116" s="5"/>
      <c r="E116" s="521">
        <f>Information!I13</f>
        <v>7790</v>
      </c>
      <c r="F116" s="522" t="str">
        <f>Information!J13</f>
        <v>Bank charges on transfers</v>
      </c>
      <c r="G116" s="531"/>
      <c r="H116" s="531"/>
      <c r="I116" s="531"/>
      <c r="J116" s="532">
        <f>SalesInvoice!W25</f>
        <v>5.3</v>
      </c>
      <c r="K116" s="533" t="s">
        <v>36</v>
      </c>
      <c r="L116" s="531"/>
      <c r="M116" s="531"/>
      <c r="N116" s="531"/>
      <c r="O116" s="531"/>
      <c r="P116" s="534"/>
      <c r="Q116" s="122" t="s">
        <v>163</v>
      </c>
      <c r="R116" s="5"/>
      <c r="S116" s="5"/>
    </row>
    <row r="117" spans="1:19" ht="15">
      <c r="A117" s="5"/>
      <c r="B117" s="5"/>
      <c r="C117" s="5"/>
      <c r="D117" s="5"/>
      <c r="E117" s="5"/>
      <c r="F117" s="5"/>
      <c r="G117" s="5"/>
      <c r="H117" s="5"/>
      <c r="I117" s="5"/>
      <c r="J117" s="5"/>
      <c r="K117" s="5"/>
      <c r="L117" s="5"/>
      <c r="M117" s="5"/>
      <c r="N117" s="5"/>
      <c r="O117" s="5"/>
      <c r="P117" s="5"/>
      <c r="Q117" s="5"/>
      <c r="R117" s="5"/>
      <c r="S117" s="5"/>
    </row>
    <row r="118" spans="1:19" ht="15">
      <c r="A118" s="5"/>
      <c r="B118" s="5" t="s">
        <v>42</v>
      </c>
      <c r="C118" s="5"/>
      <c r="D118" s="5"/>
      <c r="E118" s="5"/>
      <c r="F118" s="5"/>
      <c r="G118" s="5"/>
      <c r="H118" s="5"/>
      <c r="I118" s="5"/>
      <c r="J118" s="5"/>
      <c r="K118" s="5"/>
      <c r="L118" s="5"/>
      <c r="M118" s="5"/>
      <c r="N118" s="5"/>
      <c r="O118" s="5"/>
      <c r="P118" s="5"/>
      <c r="Q118" s="5"/>
      <c r="R118" s="5"/>
      <c r="S118" s="5"/>
    </row>
    <row r="119" spans="1:19" ht="15">
      <c r="A119" s="5"/>
      <c r="B119" s="5"/>
      <c r="C119" s="5"/>
      <c r="D119" s="5"/>
      <c r="E119" s="5"/>
      <c r="F119" s="5"/>
      <c r="G119" s="5"/>
      <c r="H119" s="5"/>
      <c r="I119" s="5"/>
      <c r="J119" s="5"/>
      <c r="K119" s="5"/>
      <c r="L119" s="5"/>
      <c r="M119" s="5"/>
      <c r="N119" s="5"/>
      <c r="O119" s="5"/>
      <c r="P119" s="5"/>
      <c r="Q119" s="5"/>
      <c r="R119" s="5"/>
      <c r="S119" s="5"/>
    </row>
    <row r="120" spans="1:19" ht="18" customHeight="1">
      <c r="A120" s="5"/>
      <c r="B120" s="194">
        <f>B115</f>
        <v>44874</v>
      </c>
      <c r="C120" s="119" t="str">
        <f>C115</f>
        <v>B</v>
      </c>
      <c r="D120" s="550">
        <f>D115</f>
        <v>3</v>
      </c>
      <c r="E120" s="698">
        <f>E115</f>
        <v>2800</v>
      </c>
      <c r="F120" s="497" t="str">
        <f>F115</f>
        <v>Bank</v>
      </c>
      <c r="G120" s="497"/>
      <c r="H120" s="497"/>
      <c r="I120" s="497"/>
      <c r="J120" s="497"/>
      <c r="K120" s="497" t="str">
        <f>K115</f>
        <v>/</v>
      </c>
      <c r="L120" s="699">
        <f>L115</f>
        <v>21591</v>
      </c>
      <c r="M120" s="497"/>
      <c r="N120" s="699" t="str">
        <f>N115</f>
        <v>Gagnon AG</v>
      </c>
      <c r="O120" s="497"/>
      <c r="P120" s="500">
        <f>J115</f>
        <v>8449.9733296521263</v>
      </c>
      <c r="Q120" s="193" t="s">
        <v>413</v>
      </c>
      <c r="R120" s="5"/>
      <c r="S120" s="5"/>
    </row>
    <row r="121" spans="1:19" ht="15">
      <c r="A121" s="5"/>
      <c r="B121" s="5"/>
      <c r="C121" s="16"/>
      <c r="D121" s="280"/>
      <c r="E121" s="5"/>
      <c r="F121" s="5"/>
      <c r="G121" s="5"/>
      <c r="H121" s="5"/>
      <c r="I121" s="5"/>
      <c r="J121" s="5"/>
      <c r="K121" s="5"/>
      <c r="L121" s="5"/>
      <c r="M121" s="5"/>
      <c r="N121" s="5"/>
      <c r="O121" s="5"/>
      <c r="P121" s="5"/>
      <c r="Q121" s="5"/>
      <c r="R121" s="5"/>
      <c r="S121" s="5"/>
    </row>
    <row r="122" spans="1:19" ht="18" customHeight="1">
      <c r="A122" s="5"/>
      <c r="B122" s="194">
        <f>B115</f>
        <v>44874</v>
      </c>
      <c r="C122" s="119" t="str">
        <f>C115</f>
        <v>B</v>
      </c>
      <c r="D122" s="550">
        <f>D115</f>
        <v>3</v>
      </c>
      <c r="E122" s="698">
        <f>E116</f>
        <v>7790</v>
      </c>
      <c r="F122" s="497" t="str">
        <f>F116</f>
        <v>Bank charges on transfers</v>
      </c>
      <c r="G122" s="497"/>
      <c r="H122" s="497"/>
      <c r="I122" s="497"/>
      <c r="J122" s="497"/>
      <c r="K122" s="497" t="str">
        <f>K116</f>
        <v>/</v>
      </c>
      <c r="L122" s="699">
        <f>L115</f>
        <v>21591</v>
      </c>
      <c r="M122" s="497"/>
      <c r="N122" s="699" t="str">
        <f>N115</f>
        <v>Gagnon AG</v>
      </c>
      <c r="O122" s="497"/>
      <c r="P122" s="500">
        <f>J116</f>
        <v>5.3</v>
      </c>
      <c r="Q122" s="304" t="str">
        <f>Q116</f>
        <v>↓</v>
      </c>
      <c r="R122" s="5"/>
      <c r="S122" s="5"/>
    </row>
    <row r="123" spans="1:19" ht="15">
      <c r="A123" s="5"/>
      <c r="B123" s="5"/>
      <c r="C123" s="5"/>
      <c r="D123" s="5"/>
      <c r="E123" s="5"/>
      <c r="F123" s="5"/>
      <c r="G123" s="5"/>
      <c r="H123" s="5"/>
      <c r="I123" s="5"/>
      <c r="J123" s="5"/>
      <c r="K123" s="5"/>
      <c r="L123" s="5"/>
      <c r="M123" s="5"/>
      <c r="N123" s="5"/>
      <c r="O123" s="5"/>
      <c r="P123" s="5"/>
      <c r="Q123" s="5"/>
      <c r="R123" s="5"/>
      <c r="S123" s="5"/>
    </row>
    <row r="124" spans="1:19" ht="15">
      <c r="A124" s="5"/>
      <c r="B124" s="5" t="s">
        <v>43</v>
      </c>
      <c r="C124" s="5"/>
      <c r="D124" s="5"/>
      <c r="E124" s="5"/>
      <c r="F124" s="5"/>
      <c r="G124" s="5"/>
      <c r="H124" s="5"/>
      <c r="I124" s="5"/>
      <c r="J124" s="5"/>
      <c r="K124" s="5"/>
      <c r="L124" s="5"/>
      <c r="M124" s="5"/>
      <c r="N124" s="5"/>
      <c r="O124" s="5"/>
      <c r="P124" s="5"/>
      <c r="Q124" s="5"/>
      <c r="R124" s="5"/>
      <c r="S124" s="5"/>
    </row>
    <row r="125" spans="1:19" ht="15">
      <c r="A125" s="5"/>
      <c r="B125" s="5" t="s">
        <v>242</v>
      </c>
      <c r="C125" s="5"/>
      <c r="D125" s="5"/>
      <c r="E125" s="5"/>
      <c r="F125" s="5"/>
      <c r="G125" s="5"/>
      <c r="H125" s="5"/>
      <c r="I125" s="5"/>
      <c r="J125" s="5"/>
      <c r="K125" s="5"/>
      <c r="L125" s="5"/>
      <c r="M125" s="5"/>
      <c r="N125" s="5"/>
      <c r="O125" s="5"/>
      <c r="P125" s="5"/>
      <c r="Q125" s="5"/>
      <c r="R125" s="5"/>
      <c r="S125" s="5"/>
    </row>
    <row r="126" spans="1:19" ht="15">
      <c r="A126" s="5"/>
      <c r="B126" s="5"/>
      <c r="C126" s="5"/>
      <c r="D126" s="5"/>
      <c r="E126" s="5"/>
      <c r="F126" s="5"/>
      <c r="G126" s="5"/>
      <c r="H126" s="5"/>
      <c r="I126" s="5"/>
      <c r="J126" s="5"/>
      <c r="K126" s="5"/>
      <c r="L126" s="293"/>
      <c r="M126" s="5"/>
      <c r="N126" s="5"/>
      <c r="O126" s="5"/>
      <c r="P126" s="5"/>
      <c r="Q126" s="5"/>
      <c r="R126" s="5"/>
      <c r="S126" s="5"/>
    </row>
    <row r="127" spans="1:19" ht="15">
      <c r="A127" s="5"/>
      <c r="B127" s="5" t="s">
        <v>44</v>
      </c>
      <c r="C127" s="5"/>
      <c r="D127" s="5"/>
      <c r="E127" s="18"/>
      <c r="F127" s="18" t="str">
        <f>F109</f>
        <v>CHF</v>
      </c>
      <c r="G127" s="18">
        <f>G109</f>
        <v>9375</v>
      </c>
      <c r="H127" s="5"/>
      <c r="I127" s="5"/>
      <c r="J127" s="5"/>
      <c r="K127" s="5"/>
      <c r="L127" s="5"/>
      <c r="M127" s="5"/>
      <c r="N127" s="294"/>
      <c r="O127" s="5"/>
      <c r="P127" s="5"/>
      <c r="Q127" s="5"/>
      <c r="R127" s="5"/>
      <c r="S127" s="5"/>
    </row>
    <row r="128" spans="1:19" ht="15.6">
      <c r="F128" s="286" t="s">
        <v>45</v>
      </c>
      <c r="G128" s="287">
        <f>SalesInvoice!F33</f>
        <v>0.02</v>
      </c>
      <c r="H128" s="289"/>
      <c r="I128" s="290"/>
      <c r="J128" s="291"/>
    </row>
    <row r="129" spans="1:18" ht="15">
      <c r="F129" s="288" t="s">
        <v>46</v>
      </c>
      <c r="G129" s="285">
        <f>G127*G128</f>
        <v>187.5</v>
      </c>
      <c r="H129" s="292" t="s">
        <v>35</v>
      </c>
      <c r="I129" s="325">
        <f>G108</f>
        <v>1.0866</v>
      </c>
      <c r="J129" s="291" t="s">
        <v>46</v>
      </c>
      <c r="L129" s="285">
        <f>G129/I129</f>
        <v>172.55659856432911</v>
      </c>
    </row>
    <row r="130" spans="1:18" ht="15">
      <c r="A130" s="34"/>
      <c r="B130" s="34"/>
      <c r="C130" s="34"/>
      <c r="D130" s="34"/>
      <c r="E130" s="34"/>
      <c r="F130" s="34"/>
      <c r="G130" s="34"/>
      <c r="H130" s="34"/>
      <c r="I130" s="34"/>
      <c r="J130" s="34"/>
      <c r="K130" s="34"/>
      <c r="L130" s="34"/>
      <c r="M130" s="34"/>
      <c r="N130" s="34"/>
      <c r="O130" s="34"/>
      <c r="P130" s="34"/>
      <c r="Q130" s="34"/>
    </row>
    <row r="131" spans="1:18" ht="36" customHeight="1">
      <c r="A131" s="34"/>
      <c r="B131" s="303">
        <f>B115</f>
        <v>44874</v>
      </c>
      <c r="C131" s="546" t="str">
        <f>C115</f>
        <v>B</v>
      </c>
      <c r="D131" s="547">
        <f>D115</f>
        <v>3</v>
      </c>
      <c r="E131" s="535">
        <f>Information!I26</f>
        <v>4416</v>
      </c>
      <c r="F131" s="536" t="str">
        <f>Information!J26</f>
        <v>Customer cash discount on exports</v>
      </c>
      <c r="G131" s="536"/>
      <c r="H131" s="536"/>
      <c r="I131" s="536"/>
      <c r="J131" s="536"/>
      <c r="K131" s="537" t="s">
        <v>36</v>
      </c>
      <c r="L131" s="538">
        <f>E43</f>
        <v>21591</v>
      </c>
      <c r="M131" s="538"/>
      <c r="N131" s="538" t="str">
        <f>F43</f>
        <v>Gagnon AG</v>
      </c>
      <c r="O131" s="536"/>
      <c r="P131" s="539">
        <f>L129</f>
        <v>172.55659856432911</v>
      </c>
      <c r="Q131" s="304" t="s">
        <v>163</v>
      </c>
    </row>
    <row r="132" spans="1:18" ht="15">
      <c r="A132" s="34"/>
      <c r="B132" s="34"/>
      <c r="C132" s="34"/>
      <c r="D132" s="34"/>
      <c r="E132" s="34"/>
      <c r="F132" s="34"/>
      <c r="G132" s="34"/>
      <c r="H132" s="34"/>
      <c r="I132" s="34"/>
      <c r="J132" s="34"/>
      <c r="K132" s="296"/>
      <c r="L132" s="297"/>
      <c r="M132" s="297"/>
      <c r="N132" s="297"/>
      <c r="O132" s="34"/>
      <c r="P132" s="285"/>
      <c r="Q132" s="34"/>
    </row>
    <row r="133" spans="1:18" ht="15">
      <c r="A133" s="34"/>
      <c r="B133" s="34" t="s">
        <v>243</v>
      </c>
      <c r="C133" s="34"/>
      <c r="D133" s="34"/>
      <c r="E133" s="34"/>
      <c r="F133" s="34"/>
      <c r="G133" s="34"/>
      <c r="H133" s="34"/>
      <c r="I133" s="34"/>
      <c r="J133" s="34"/>
      <c r="K133" s="34"/>
      <c r="L133" s="34"/>
      <c r="M133" s="34"/>
      <c r="N133" s="34"/>
      <c r="O133" s="34"/>
      <c r="P133" s="34"/>
      <c r="Q133" s="34"/>
    </row>
    <row r="135" spans="1:18" ht="15.6">
      <c r="B135" s="298" t="s">
        <v>245</v>
      </c>
    </row>
    <row r="137" spans="1:18" ht="15">
      <c r="B137" s="5" t="s">
        <v>47</v>
      </c>
      <c r="F137" s="295" t="str">
        <f>F40</f>
        <v>€</v>
      </c>
      <c r="G137" s="285">
        <f>G40</f>
        <v>8670.9211986681476</v>
      </c>
      <c r="H137" s="34"/>
      <c r="I137" s="34"/>
      <c r="J137" s="285">
        <f>G109</f>
        <v>9375</v>
      </c>
      <c r="K137" s="292" t="s">
        <v>35</v>
      </c>
      <c r="L137" s="717">
        <f>G39</f>
        <v>1.0811999999999999</v>
      </c>
    </row>
    <row r="138" spans="1:18" ht="15">
      <c r="B138" s="5" t="s">
        <v>241</v>
      </c>
      <c r="F138" s="286" t="str">
        <f>F40</f>
        <v>€</v>
      </c>
      <c r="G138" s="299">
        <f>G38/G108</f>
        <v>8627.8299282164553</v>
      </c>
      <c r="H138" s="34"/>
      <c r="I138" s="34"/>
      <c r="J138" s="285">
        <f>J137</f>
        <v>9375</v>
      </c>
      <c r="K138" s="292" t="s">
        <v>35</v>
      </c>
      <c r="L138" s="717">
        <f>G108</f>
        <v>1.0866</v>
      </c>
    </row>
    <row r="139" spans="1:18" ht="15">
      <c r="F139" s="295" t="str">
        <f>F40</f>
        <v>€</v>
      </c>
      <c r="G139" s="285">
        <f>G138-G137</f>
        <v>-43.091270451692253</v>
      </c>
      <c r="H139" s="34" t="str">
        <f>IF(G137&gt;G138,"less received","more received")</f>
        <v>less received</v>
      </c>
      <c r="I139" s="34"/>
      <c r="J139" s="34"/>
    </row>
    <row r="140" spans="1:18" ht="15">
      <c r="F140" s="295"/>
      <c r="G140" s="285"/>
      <c r="H140" s="34"/>
      <c r="I140" s="34"/>
      <c r="J140" s="34"/>
    </row>
    <row r="141" spans="1:18" s="192" customFormat="1" ht="36" customHeight="1">
      <c r="B141" s="303">
        <f>B115</f>
        <v>44874</v>
      </c>
      <c r="C141" s="546" t="str">
        <f>C115</f>
        <v>B</v>
      </c>
      <c r="D141" s="547">
        <f>D115</f>
        <v>3</v>
      </c>
      <c r="E141" s="540">
        <f>IF(G137&gt;G138,Information!I32,E43)</f>
        <v>7815</v>
      </c>
      <c r="F141" s="538" t="str">
        <f>IF(G137&gt;G138,Information!J32,E43)</f>
        <v>Foreign currency losses</v>
      </c>
      <c r="G141" s="541"/>
      <c r="H141" s="536"/>
      <c r="I141" s="536"/>
      <c r="J141" s="537"/>
      <c r="K141" s="537" t="s">
        <v>36</v>
      </c>
      <c r="L141" s="536">
        <f>IF(G137&gt;G138,E43,Information!I33)</f>
        <v>21591</v>
      </c>
      <c r="M141" s="536"/>
      <c r="N141" s="536" t="str">
        <f>IF(G137&gt;G138,F43,Information!J33)</f>
        <v>Gagnon AG</v>
      </c>
      <c r="O141" s="536"/>
      <c r="P141" s="539">
        <f>-G139</f>
        <v>43.091270451692253</v>
      </c>
      <c r="Q141" s="302" t="str">
        <f>IF(G137&gt;G138,"↓","↑")</f>
        <v>↓</v>
      </c>
      <c r="R141" s="284"/>
    </row>
    <row r="142" spans="1:18" ht="15">
      <c r="B142" s="34"/>
      <c r="C142" s="34"/>
      <c r="D142" s="34"/>
      <c r="E142" s="34"/>
      <c r="F142" s="34"/>
      <c r="G142" s="285"/>
      <c r="H142" s="34"/>
      <c r="I142" s="34"/>
      <c r="J142" s="34"/>
    </row>
    <row r="143" spans="1:18">
      <c r="G143" s="131"/>
    </row>
    <row r="144" spans="1:18" ht="15.6">
      <c r="B144" s="298" t="s">
        <v>244</v>
      </c>
    </row>
    <row r="145" spans="1:19" ht="15">
      <c r="B145" s="34"/>
      <c r="C145" s="34"/>
      <c r="D145" s="34"/>
      <c r="E145" s="34"/>
      <c r="F145" s="34"/>
      <c r="G145" s="34"/>
      <c r="H145" s="34"/>
      <c r="I145" s="34"/>
      <c r="J145" s="34"/>
      <c r="K145" s="296"/>
      <c r="L145" s="34"/>
      <c r="M145" s="34"/>
      <c r="N145" s="34"/>
      <c r="O145" s="34"/>
      <c r="P145" s="285"/>
      <c r="Q145" s="34"/>
      <c r="R145" s="34"/>
      <c r="S145" s="34"/>
    </row>
    <row r="146" spans="1:19" ht="36" customHeight="1">
      <c r="A146" s="192"/>
      <c r="B146" s="303">
        <f>B62</f>
        <v>44874</v>
      </c>
      <c r="C146" s="546" t="str">
        <f>SalesInvoice!U22</f>
        <v>B</v>
      </c>
      <c r="D146" s="697">
        <f>D62</f>
        <v>3</v>
      </c>
      <c r="E146" s="535">
        <f>L48</f>
        <v>33025</v>
      </c>
      <c r="F146" s="536" t="str">
        <f>N48</f>
        <v>WIT Transport GmbH</v>
      </c>
      <c r="G146" s="536"/>
      <c r="H146" s="536"/>
      <c r="I146" s="536"/>
      <c r="J146" s="536"/>
      <c r="K146" s="537" t="s">
        <v>36</v>
      </c>
      <c r="L146" s="536">
        <f>Information!I12</f>
        <v>2800</v>
      </c>
      <c r="M146" s="536"/>
      <c r="N146" s="536" t="str">
        <f>Information!J12</f>
        <v>Bank</v>
      </c>
      <c r="O146" s="536"/>
      <c r="P146" s="539">
        <f>P48</f>
        <v>710</v>
      </c>
      <c r="Q146" s="284" t="s">
        <v>413</v>
      </c>
      <c r="R146" s="34"/>
      <c r="S146" s="34"/>
    </row>
    <row r="147" spans="1:19" ht="15">
      <c r="B147" s="34"/>
      <c r="C147" s="34"/>
      <c r="D147" s="34"/>
      <c r="E147" s="34"/>
      <c r="F147" s="34"/>
      <c r="G147" s="34"/>
      <c r="H147" s="34"/>
      <c r="I147" s="34"/>
      <c r="J147" s="34"/>
      <c r="K147" s="34"/>
      <c r="L147" s="34"/>
      <c r="M147" s="34"/>
      <c r="N147" s="34"/>
      <c r="O147" s="34"/>
      <c r="P147" s="34"/>
      <c r="Q147" s="34"/>
      <c r="R147" s="34"/>
      <c r="S147" s="34"/>
    </row>
    <row r="148" spans="1:19" ht="15">
      <c r="B148" s="34" t="s">
        <v>246</v>
      </c>
      <c r="C148" s="34"/>
      <c r="D148" s="34"/>
      <c r="E148" s="34"/>
      <c r="F148" s="34"/>
      <c r="G148" s="34"/>
      <c r="H148" s="34"/>
      <c r="I148" s="34"/>
      <c r="J148" s="34"/>
      <c r="K148" s="34"/>
      <c r="L148" s="34"/>
      <c r="M148" s="34"/>
      <c r="N148" s="34"/>
      <c r="O148" s="34"/>
      <c r="P148" s="34"/>
      <c r="Q148" s="34"/>
      <c r="R148" s="34"/>
      <c r="S148" s="34"/>
    </row>
    <row r="149" spans="1:19" ht="15">
      <c r="B149" s="34"/>
      <c r="C149" s="34"/>
      <c r="D149" s="34"/>
      <c r="E149" s="34"/>
      <c r="F149" s="34"/>
      <c r="G149" s="34"/>
      <c r="H149" s="34"/>
      <c r="I149" s="34"/>
      <c r="J149" s="34"/>
      <c r="K149" s="34"/>
      <c r="L149" s="34"/>
      <c r="M149" s="34"/>
      <c r="N149" s="34"/>
      <c r="O149" s="34"/>
      <c r="P149" s="34"/>
      <c r="Q149" s="34"/>
      <c r="R149" s="34"/>
      <c r="S149" s="34"/>
    </row>
  </sheetData>
  <mergeCells count="4">
    <mergeCell ref="N79:O79"/>
    <mergeCell ref="G103:H103"/>
    <mergeCell ref="G97:H97"/>
    <mergeCell ref="G30:H30"/>
  </mergeCells>
  <pageMargins left="0.7" right="0.7" top="0.78740157499999996" bottom="0.78740157499999996" header="0.3" footer="0.3"/>
  <pageSetup paperSize="9" orientation="portrait" r:id="rId1"/>
  <ignoredErrors>
    <ignoredError sqref="C146"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84FAB-6221-4581-8273-2CED1C8A082A}">
  <dimension ref="B1:AK37"/>
  <sheetViews>
    <sheetView showGridLines="0" zoomScaleNormal="100" workbookViewId="0">
      <selection activeCell="B2" sqref="B2:M37"/>
    </sheetView>
  </sheetViews>
  <sheetFormatPr defaultColWidth="11.33203125" defaultRowHeight="13.2"/>
  <cols>
    <col min="1" max="2" width="1.44140625" customWidth="1"/>
    <col min="3" max="3" width="10.33203125" customWidth="1"/>
    <col min="4" max="4" width="7.33203125" customWidth="1"/>
    <col min="5" max="7" width="7" customWidth="1"/>
    <col min="8" max="8" width="7.88671875" customWidth="1"/>
    <col min="9" max="9" width="12.5546875" customWidth="1"/>
    <col min="10" max="10" width="6.6640625" customWidth="1"/>
    <col min="11" max="11" width="20.5546875" customWidth="1"/>
    <col min="12" max="12" width="18.44140625" customWidth="1"/>
    <col min="13" max="13" width="1.5546875" customWidth="1"/>
    <col min="14" max="14" width="4.6640625" customWidth="1"/>
    <col min="15" max="15" width="4.44140625" customWidth="1"/>
    <col min="16" max="16" width="10.44140625" customWidth="1"/>
    <col min="17" max="17" width="7.109375" customWidth="1"/>
    <col min="18" max="18" width="4.6640625" customWidth="1"/>
    <col min="19" max="19" width="2.88671875" customWidth="1"/>
    <col min="20" max="20" width="11.88671875" customWidth="1"/>
    <col min="21" max="21" width="13.88671875" customWidth="1"/>
    <col min="22" max="22" width="7.5546875" customWidth="1"/>
    <col min="23" max="23" width="15" customWidth="1"/>
    <col min="24" max="24" width="5" customWidth="1"/>
    <col min="25" max="25" width="8" customWidth="1"/>
    <col min="26" max="26" width="17.5546875" customWidth="1"/>
    <col min="27" max="27" width="8" customWidth="1"/>
    <col min="28" max="28" width="17.5546875" customWidth="1"/>
  </cols>
  <sheetData>
    <row r="1" spans="2:37" ht="13.8" thickBot="1"/>
    <row r="2" spans="2:37">
      <c r="B2" s="197"/>
      <c r="C2" s="198"/>
      <c r="D2" s="198"/>
      <c r="E2" s="198"/>
      <c r="F2" s="198"/>
      <c r="G2" s="199"/>
      <c r="H2" s="199"/>
      <c r="I2" s="199"/>
      <c r="J2" s="199"/>
      <c r="K2" s="198"/>
      <c r="L2" s="198"/>
      <c r="M2" s="200"/>
    </row>
    <row r="3" spans="2:37" ht="16.2" thickBot="1">
      <c r="B3" s="201"/>
      <c r="C3" s="10"/>
      <c r="D3" s="329"/>
      <c r="E3" s="329"/>
      <c r="F3" s="10"/>
      <c r="G3" s="330"/>
      <c r="H3" s="330"/>
      <c r="I3" s="330"/>
      <c r="J3" s="330"/>
      <c r="K3" s="10"/>
      <c r="L3" s="10"/>
      <c r="M3" s="202"/>
      <c r="P3" s="3" t="s">
        <v>362</v>
      </c>
      <c r="R3" s="409" t="s">
        <v>363</v>
      </c>
    </row>
    <row r="4" spans="2:37" ht="49.2" thickBot="1">
      <c r="B4" s="201"/>
      <c r="C4" s="366" t="str">
        <f>Information!B3</f>
        <v>Crann Toys GmbH</v>
      </c>
      <c r="D4" s="367"/>
      <c r="E4" s="367"/>
      <c r="F4" s="367"/>
      <c r="G4" s="368"/>
      <c r="H4" s="369"/>
      <c r="I4" s="369"/>
      <c r="J4" s="605"/>
      <c r="K4" s="604"/>
      <c r="L4" s="10"/>
      <c r="M4" s="202"/>
    </row>
    <row r="5" spans="2:37" ht="15.6">
      <c r="B5" s="201"/>
      <c r="C5" s="376" t="str">
        <f>Information!B5</f>
        <v>3430 Tulln</v>
      </c>
      <c r="D5" s="376"/>
      <c r="E5" s="376" t="str">
        <f>Information!B4</f>
        <v>Cottage St. 13</v>
      </c>
      <c r="F5" s="376"/>
      <c r="G5" s="376"/>
      <c r="H5" s="376" t="str">
        <f>Information!B6</f>
        <v>Austria</v>
      </c>
      <c r="I5" s="377"/>
      <c r="J5" s="377"/>
      <c r="K5" s="378"/>
      <c r="L5" s="378"/>
      <c r="M5" s="202"/>
      <c r="P5" s="209"/>
      <c r="Q5" s="6"/>
      <c r="R5" s="6"/>
      <c r="S5" s="6"/>
      <c r="T5" s="6"/>
      <c r="U5" s="9"/>
      <c r="V5" s="9"/>
      <c r="W5" s="9"/>
      <c r="X5" s="6"/>
      <c r="Y5" s="6"/>
      <c r="Z5" s="6"/>
      <c r="AA5" s="10"/>
      <c r="AB5" s="10"/>
      <c r="AC5" s="10"/>
      <c r="AD5" s="10"/>
      <c r="AE5" s="10"/>
      <c r="AF5" s="10"/>
      <c r="AG5" s="10"/>
      <c r="AH5" s="10"/>
      <c r="AI5" s="10"/>
      <c r="AJ5" s="10"/>
      <c r="AK5" s="10"/>
    </row>
    <row r="6" spans="2:37" ht="16.2">
      <c r="B6" s="331"/>
      <c r="C6" s="377" t="str">
        <f>Information!B9</f>
        <v>Tel:</v>
      </c>
      <c r="D6" s="376" t="str">
        <f>Information!C9</f>
        <v>0043-2272-53626</v>
      </c>
      <c r="E6" s="376"/>
      <c r="F6" s="376"/>
      <c r="G6" s="377" t="str">
        <f>Information!B10</f>
        <v>Email:</v>
      </c>
      <c r="H6" s="376" t="str">
        <f>Information!C10</f>
        <v>cranntoys@aon.at</v>
      </c>
      <c r="I6" s="376"/>
      <c r="J6" s="377" t="str">
        <f>Information!B11</f>
        <v>Web:</v>
      </c>
      <c r="K6" s="376" t="str">
        <f>Information!C11</f>
        <v>www.cranntoys.at</v>
      </c>
      <c r="L6" s="376"/>
      <c r="M6" s="202"/>
      <c r="P6" s="6"/>
      <c r="Q6" s="6"/>
      <c r="R6" s="6"/>
      <c r="S6" s="6"/>
      <c r="T6" s="6"/>
      <c r="U6" s="9"/>
      <c r="V6" s="9"/>
      <c r="W6" s="9"/>
      <c r="X6" s="6"/>
      <c r="Y6" s="135"/>
      <c r="Z6" s="135"/>
      <c r="AA6" s="195"/>
      <c r="AB6" s="195"/>
      <c r="AC6" s="195"/>
      <c r="AD6" s="195"/>
      <c r="AE6" s="10"/>
      <c r="AF6" s="10"/>
      <c r="AG6" s="10"/>
      <c r="AH6" s="10"/>
      <c r="AI6" s="10"/>
      <c r="AJ6" s="10"/>
      <c r="AK6" s="10"/>
    </row>
    <row r="7" spans="2:37" ht="15.75" customHeight="1">
      <c r="B7" s="201"/>
      <c r="C7" s="337"/>
      <c r="D7" s="337"/>
      <c r="E7" s="337"/>
      <c r="F7" s="338"/>
      <c r="G7" s="339"/>
      <c r="H7" s="332"/>
      <c r="I7" s="332"/>
      <c r="J7" s="332"/>
      <c r="K7" s="332"/>
      <c r="L7" s="332"/>
      <c r="M7" s="202"/>
      <c r="P7" s="6"/>
      <c r="Q7" s="722"/>
      <c r="R7" s="722"/>
      <c r="S7" s="5"/>
      <c r="T7" s="5"/>
      <c r="U7" s="210"/>
      <c r="V7" s="210"/>
      <c r="W7" s="6"/>
      <c r="X7" s="6"/>
      <c r="Y7" s="258"/>
      <c r="Z7" s="258"/>
      <c r="AA7" s="258"/>
      <c r="AB7" s="258"/>
      <c r="AC7" s="135"/>
      <c r="AD7" s="135"/>
      <c r="AE7" s="10"/>
      <c r="AF7" s="10"/>
      <c r="AG7" s="10"/>
      <c r="AH7" s="10"/>
      <c r="AI7" s="10"/>
      <c r="AJ7" s="10"/>
      <c r="AK7" s="10"/>
    </row>
    <row r="8" spans="2:37" ht="15.75" customHeight="1">
      <c r="B8" s="201"/>
      <c r="C8" s="337" t="str">
        <f>Information!B49</f>
        <v>István Molnár Kft.</v>
      </c>
      <c r="D8" s="337"/>
      <c r="E8" s="338"/>
      <c r="F8" s="223"/>
      <c r="G8" s="340"/>
      <c r="H8" s="252"/>
      <c r="I8" s="252"/>
      <c r="J8" s="252"/>
      <c r="K8" s="335"/>
      <c r="L8" s="333"/>
      <c r="M8" s="202"/>
      <c r="P8" s="6"/>
      <c r="Q8" s="6"/>
      <c r="R8" s="6"/>
      <c r="S8" s="6"/>
      <c r="T8" s="5"/>
      <c r="U8" s="9"/>
      <c r="V8" s="9"/>
      <c r="W8" s="9"/>
      <c r="X8" s="6"/>
      <c r="Y8" s="213"/>
      <c r="Z8" s="213"/>
      <c r="AA8" s="213"/>
      <c r="AB8" s="213"/>
      <c r="AC8" s="135"/>
      <c r="AD8" s="135"/>
      <c r="AE8" s="10"/>
      <c r="AF8" s="10"/>
      <c r="AG8" s="10"/>
      <c r="AH8" s="10"/>
      <c r="AI8" s="10"/>
      <c r="AJ8" s="10"/>
      <c r="AK8" s="10"/>
    </row>
    <row r="9" spans="2:37" ht="15.75" customHeight="1">
      <c r="B9" s="201"/>
      <c r="C9" s="337" t="str">
        <f>Information!B50</f>
        <v>Csapás u. 84.</v>
      </c>
      <c r="D9" s="337"/>
      <c r="E9" s="338"/>
      <c r="F9" s="223"/>
      <c r="G9" s="340"/>
      <c r="H9" s="252"/>
      <c r="I9" s="252"/>
      <c r="J9" s="252"/>
      <c r="K9" s="335"/>
      <c r="L9" s="333"/>
      <c r="M9" s="202"/>
      <c r="P9" s="6"/>
      <c r="Q9" s="6"/>
      <c r="R9" s="6"/>
      <c r="S9" s="6"/>
      <c r="T9" s="5"/>
      <c r="U9" s="9"/>
      <c r="V9" s="9"/>
      <c r="W9" s="9"/>
      <c r="X9" s="6"/>
      <c r="Y9" s="212"/>
      <c r="Z9" s="35"/>
      <c r="AA9" s="35"/>
      <c r="AB9" s="35"/>
      <c r="AC9" s="135"/>
      <c r="AD9" s="135"/>
      <c r="AE9" s="10"/>
      <c r="AF9" s="10"/>
      <c r="AG9" s="10"/>
      <c r="AH9" s="10"/>
      <c r="AI9" s="10"/>
      <c r="AJ9" s="10"/>
      <c r="AK9" s="10"/>
    </row>
    <row r="10" spans="2:37" ht="15.75" customHeight="1">
      <c r="B10" s="201"/>
      <c r="C10" s="337" t="str">
        <f>Information!B51</f>
        <v>2111 Szada</v>
      </c>
      <c r="D10" s="337"/>
      <c r="E10" s="338"/>
      <c r="F10" s="223"/>
      <c r="G10" s="340"/>
      <c r="H10" s="252"/>
      <c r="I10" s="252"/>
      <c r="J10" s="252"/>
      <c r="K10" s="335"/>
      <c r="L10" s="333"/>
      <c r="M10" s="202"/>
      <c r="P10" s="6"/>
      <c r="Q10" s="6"/>
      <c r="R10" s="6"/>
      <c r="S10" s="6"/>
      <c r="T10" s="136"/>
      <c r="U10" s="9"/>
      <c r="V10" s="9"/>
      <c r="W10" s="12"/>
      <c r="X10" s="6"/>
      <c r="Y10" s="211"/>
      <c r="Z10" s="135"/>
      <c r="AA10" s="135"/>
      <c r="AB10" s="135"/>
      <c r="AC10" s="135"/>
      <c r="AD10" s="135"/>
      <c r="AE10" s="10"/>
      <c r="AF10" s="10"/>
      <c r="AG10" s="10"/>
      <c r="AH10" s="10"/>
      <c r="AI10" s="10"/>
      <c r="AJ10" s="10"/>
      <c r="AK10" s="10"/>
    </row>
    <row r="11" spans="2:37" ht="19.649999999999999" customHeight="1">
      <c r="B11" s="201"/>
      <c r="C11" s="337" t="str">
        <f>Information!B52</f>
        <v>Hungary</v>
      </c>
      <c r="D11" s="223"/>
      <c r="E11" s="223"/>
      <c r="F11" s="223"/>
      <c r="G11" s="340"/>
      <c r="H11" s="252"/>
      <c r="I11" s="252"/>
      <c r="J11" s="252"/>
      <c r="L11" s="333"/>
      <c r="M11" s="202"/>
      <c r="P11" s="6"/>
      <c r="Q11" s="6"/>
      <c r="R11" s="6"/>
      <c r="S11" s="6"/>
      <c r="T11" s="136"/>
      <c r="U11" s="9"/>
      <c r="V11" s="210"/>
      <c r="W11" s="12"/>
      <c r="X11" s="6"/>
      <c r="Y11" s="196"/>
      <c r="Z11" s="135"/>
      <c r="AA11" s="135"/>
      <c r="AB11" s="135"/>
      <c r="AC11" s="135"/>
      <c r="AD11" s="135"/>
      <c r="AE11" s="10"/>
      <c r="AF11" s="10"/>
      <c r="AG11" s="10"/>
      <c r="AH11" s="10"/>
      <c r="AI11" s="10"/>
      <c r="AJ11" s="10"/>
      <c r="AK11" s="10"/>
    </row>
    <row r="12" spans="2:37" ht="15.75" customHeight="1">
      <c r="B12" s="201"/>
      <c r="C12" s="337" t="str">
        <f>Information!B103</f>
        <v>Email:</v>
      </c>
      <c r="D12" s="223" t="str">
        <f>Information!C54</f>
        <v>istvanmolnar@gmail.com</v>
      </c>
      <c r="E12" s="341"/>
      <c r="F12" s="223"/>
      <c r="G12" s="340"/>
      <c r="H12" s="252"/>
      <c r="I12" s="252"/>
      <c r="J12" s="252"/>
      <c r="K12" s="335"/>
      <c r="L12" s="333"/>
      <c r="M12" s="202"/>
      <c r="P12" s="6"/>
      <c r="Q12" s="6"/>
      <c r="R12" s="6"/>
      <c r="S12" s="6"/>
      <c r="T12" s="6"/>
      <c r="U12" s="9"/>
      <c r="V12" s="9"/>
      <c r="W12" s="12"/>
      <c r="X12" s="6"/>
      <c r="Y12" s="135"/>
      <c r="Z12" s="135"/>
      <c r="AA12" s="195"/>
      <c r="AB12" s="195"/>
      <c r="AC12" s="195"/>
      <c r="AD12" s="195"/>
      <c r="AE12" s="10"/>
      <c r="AF12" s="10"/>
      <c r="AG12" s="10"/>
      <c r="AH12" s="10"/>
      <c r="AI12" s="10"/>
      <c r="AJ12" s="10"/>
      <c r="AK12" s="10"/>
    </row>
    <row r="13" spans="2:37" ht="16.2">
      <c r="B13" s="342"/>
      <c r="C13" s="337"/>
      <c r="D13" s="337"/>
      <c r="E13" s="337"/>
      <c r="F13" s="337"/>
      <c r="G13" s="337"/>
      <c r="H13" s="337"/>
      <c r="I13" s="337"/>
      <c r="J13" s="337"/>
      <c r="K13" s="337"/>
      <c r="L13" s="337"/>
      <c r="M13" s="202"/>
      <c r="P13" s="6"/>
      <c r="Q13" s="6"/>
      <c r="R13" s="6"/>
      <c r="S13" s="6"/>
      <c r="T13" s="6"/>
      <c r="U13" s="9"/>
      <c r="V13" s="9"/>
      <c r="W13" s="10"/>
      <c r="X13" s="10"/>
      <c r="Y13" s="10"/>
      <c r="Z13" s="10"/>
      <c r="AA13" s="10"/>
      <c r="AB13" s="10"/>
      <c r="AC13" s="10"/>
      <c r="AD13" s="10"/>
      <c r="AE13" s="10"/>
      <c r="AF13" s="10"/>
      <c r="AG13" s="10"/>
      <c r="AH13" s="10"/>
      <c r="AI13" s="10"/>
      <c r="AJ13" s="10"/>
      <c r="AK13" s="10"/>
    </row>
    <row r="14" spans="2:37" ht="16.2">
      <c r="B14" s="342"/>
      <c r="C14" s="337" t="s">
        <v>364</v>
      </c>
      <c r="D14" s="337"/>
      <c r="E14" s="337"/>
      <c r="F14" s="337"/>
      <c r="G14" s="337"/>
      <c r="H14" s="337"/>
      <c r="I14" s="337"/>
      <c r="J14" s="337"/>
      <c r="K14" s="337"/>
      <c r="L14" s="708">
        <f>Information!J2-70</f>
        <v>44856</v>
      </c>
      <c r="M14" s="202"/>
      <c r="P14" s="6"/>
      <c r="Q14" s="6"/>
      <c r="R14" s="6"/>
      <c r="S14" s="6"/>
      <c r="T14" s="6"/>
      <c r="U14" s="9"/>
      <c r="V14" s="9"/>
      <c r="W14" s="10"/>
      <c r="X14" s="10"/>
      <c r="Y14" s="10"/>
      <c r="Z14" s="10"/>
      <c r="AA14" s="10"/>
      <c r="AB14" s="10"/>
      <c r="AC14" s="10"/>
      <c r="AD14" s="10"/>
      <c r="AE14" s="10"/>
      <c r="AF14" s="10"/>
      <c r="AG14" s="10"/>
      <c r="AH14" s="10"/>
      <c r="AI14" s="10"/>
      <c r="AJ14" s="10"/>
      <c r="AK14" s="10"/>
    </row>
    <row r="15" spans="2:37" ht="16.2">
      <c r="B15" s="342"/>
      <c r="C15" s="337"/>
      <c r="D15" s="337"/>
      <c r="E15" s="337"/>
      <c r="F15" s="337"/>
      <c r="G15" s="337"/>
      <c r="H15" s="337"/>
      <c r="I15" s="337"/>
      <c r="J15" s="337"/>
      <c r="K15" s="337"/>
      <c r="L15" s="337"/>
      <c r="M15" s="202"/>
      <c r="P15" s="6"/>
      <c r="Q15" s="6"/>
      <c r="R15" s="6"/>
      <c r="S15" s="6"/>
      <c r="T15" s="6"/>
      <c r="U15" s="9"/>
      <c r="V15" s="9"/>
      <c r="W15" s="10"/>
      <c r="X15" s="10"/>
      <c r="Y15" s="10"/>
      <c r="Z15" s="10"/>
      <c r="AA15" s="10"/>
      <c r="AB15" s="10"/>
      <c r="AC15" s="10"/>
      <c r="AD15" s="10"/>
      <c r="AE15" s="10"/>
      <c r="AF15" s="10"/>
      <c r="AG15" s="10"/>
      <c r="AH15" s="10"/>
      <c r="AI15" s="10"/>
      <c r="AJ15" s="10"/>
      <c r="AK15" s="10"/>
    </row>
    <row r="16" spans="2:37" ht="16.2">
      <c r="B16" s="342"/>
      <c r="C16" s="337" t="s">
        <v>365</v>
      </c>
      <c r="D16" s="337"/>
      <c r="E16" s="337"/>
      <c r="F16" s="337"/>
      <c r="G16" s="337"/>
      <c r="H16" s="337"/>
      <c r="I16" s="337"/>
      <c r="J16" s="337"/>
      <c r="K16" s="337"/>
      <c r="L16" s="337"/>
      <c r="M16" s="202"/>
      <c r="P16" s="6"/>
      <c r="Q16" s="6"/>
      <c r="R16" s="6"/>
      <c r="S16" s="6"/>
      <c r="T16" s="6"/>
      <c r="U16" s="9"/>
      <c r="V16" s="9"/>
      <c r="W16" s="10"/>
      <c r="X16" s="10"/>
      <c r="Y16" s="10"/>
      <c r="Z16" s="10"/>
      <c r="AA16" s="10"/>
      <c r="AB16" s="10"/>
      <c r="AC16" s="10"/>
      <c r="AD16" s="10"/>
      <c r="AE16" s="10"/>
      <c r="AF16" s="10"/>
      <c r="AG16" s="10"/>
      <c r="AH16" s="10"/>
      <c r="AI16" s="10"/>
      <c r="AJ16" s="10"/>
      <c r="AK16" s="10"/>
    </row>
    <row r="17" spans="2:37" ht="16.2">
      <c r="B17" s="342"/>
      <c r="C17" s="337"/>
      <c r="D17" s="337"/>
      <c r="E17" s="337"/>
      <c r="F17" s="337"/>
      <c r="G17" s="337"/>
      <c r="H17" s="337"/>
      <c r="I17" s="337"/>
      <c r="J17" s="337"/>
      <c r="K17" s="337"/>
      <c r="L17" s="337"/>
      <c r="M17" s="202"/>
      <c r="P17" s="6"/>
      <c r="Q17" s="6"/>
      <c r="R17" s="6"/>
      <c r="S17" s="6"/>
      <c r="T17" s="6"/>
      <c r="U17" s="9"/>
      <c r="V17" s="9"/>
      <c r="W17" s="10"/>
      <c r="X17" s="10"/>
      <c r="Y17" s="10"/>
      <c r="Z17" s="10"/>
      <c r="AA17" s="10"/>
      <c r="AB17" s="10"/>
      <c r="AC17" s="10"/>
      <c r="AD17" s="10"/>
      <c r="AE17" s="10"/>
      <c r="AF17" s="10"/>
      <c r="AG17" s="10"/>
      <c r="AH17" s="10"/>
      <c r="AI17" s="10"/>
      <c r="AJ17" s="10"/>
      <c r="AK17" s="10"/>
    </row>
    <row r="18" spans="2:37" ht="16.2">
      <c r="B18" s="342"/>
      <c r="C18" s="337" t="s">
        <v>7</v>
      </c>
      <c r="D18" s="337" t="s">
        <v>366</v>
      </c>
      <c r="E18" s="337"/>
      <c r="F18" s="337"/>
      <c r="G18" s="337"/>
      <c r="H18" s="337"/>
      <c r="I18" s="337" t="s">
        <v>367</v>
      </c>
      <c r="J18" s="337"/>
      <c r="K18" s="337" t="s">
        <v>368</v>
      </c>
      <c r="L18" s="337" t="s">
        <v>369</v>
      </c>
      <c r="M18" s="202"/>
      <c r="P18" s="6"/>
      <c r="Q18" s="6"/>
      <c r="R18" s="6"/>
      <c r="S18" s="6"/>
      <c r="T18" s="6"/>
      <c r="U18" s="9"/>
      <c r="V18" s="9"/>
      <c r="W18" s="10"/>
      <c r="X18" s="10"/>
      <c r="Y18" s="10"/>
      <c r="Z18" s="10"/>
      <c r="AA18" s="10"/>
      <c r="AB18" s="10"/>
      <c r="AC18" s="10"/>
      <c r="AD18" s="10"/>
      <c r="AE18" s="10"/>
      <c r="AF18" s="10"/>
      <c r="AG18" s="10"/>
      <c r="AH18" s="10"/>
      <c r="AI18" s="10"/>
      <c r="AJ18" s="10"/>
      <c r="AK18" s="10"/>
    </row>
    <row r="19" spans="2:37" ht="16.2">
      <c r="B19" s="342"/>
      <c r="C19" s="337">
        <f>'PurchaseInvoice-correct'!D30</f>
        <v>48819</v>
      </c>
      <c r="D19" s="337" t="str">
        <f>'PurchaseInvoice-correct'!E30</f>
        <v>beech - 2m X 20cm X 1.8cm boards</v>
      </c>
      <c r="E19" s="337"/>
      <c r="F19" s="337"/>
      <c r="G19" s="337"/>
      <c r="H19" s="614"/>
      <c r="I19" s="616">
        <f>'PurchaseInvoice-correct'!H30</f>
        <v>3000</v>
      </c>
      <c r="J19" s="615"/>
      <c r="K19" s="615">
        <f>'PurchaseInvoice-correct'!K30</f>
        <v>12000</v>
      </c>
      <c r="L19" s="615">
        <f>'PurchaseInvoice-correct'!L30</f>
        <v>36000000</v>
      </c>
      <c r="M19" s="202"/>
      <c r="P19" s="6"/>
      <c r="Q19" s="6"/>
      <c r="R19" s="6"/>
      <c r="S19" s="6"/>
      <c r="T19" s="6"/>
      <c r="U19" s="9"/>
      <c r="V19" s="9"/>
      <c r="W19" s="10"/>
      <c r="X19" s="10"/>
      <c r="Y19" s="10"/>
      <c r="Z19" s="10"/>
      <c r="AA19" s="10"/>
      <c r="AB19" s="10"/>
      <c r="AC19" s="10"/>
      <c r="AD19" s="10"/>
      <c r="AE19" s="10"/>
      <c r="AF19" s="10"/>
      <c r="AG19" s="10"/>
      <c r="AH19" s="10"/>
      <c r="AI19" s="10"/>
      <c r="AJ19" s="10"/>
      <c r="AK19" s="10"/>
    </row>
    <row r="20" spans="2:37" ht="16.2">
      <c r="B20" s="342"/>
      <c r="C20" s="337">
        <f>'PurchaseInvoice-correct'!D33</f>
        <v>217188</v>
      </c>
      <c r="D20" s="337" t="str">
        <f>'PurchaseInvoice-correct'!E33</f>
        <v>oak -  1.60m X 80cm X 2.5cm boards</v>
      </c>
      <c r="E20" s="337"/>
      <c r="F20" s="337"/>
      <c r="G20" s="337"/>
      <c r="H20" s="614"/>
      <c r="I20" s="616">
        <f>'PurchaseInvoice-correct'!H33</f>
        <v>50</v>
      </c>
      <c r="J20" s="615"/>
      <c r="K20" s="615">
        <f>'PurchaseInvoice-correct'!K33</f>
        <v>138500</v>
      </c>
      <c r="L20" s="615">
        <f>'PurchaseInvoice-correct'!L33</f>
        <v>6925000</v>
      </c>
      <c r="M20" s="202"/>
      <c r="P20" s="6"/>
      <c r="Q20" s="6"/>
      <c r="R20" s="6"/>
      <c r="S20" s="6"/>
      <c r="T20" s="6"/>
      <c r="U20" s="9"/>
      <c r="V20" s="9"/>
      <c r="W20" s="10"/>
      <c r="X20" s="10"/>
      <c r="Y20" s="10"/>
      <c r="Z20" s="10"/>
      <c r="AA20" s="10"/>
      <c r="AB20" s="10"/>
      <c r="AC20" s="10"/>
      <c r="AD20" s="10"/>
      <c r="AE20" s="10"/>
      <c r="AF20" s="10"/>
      <c r="AG20" s="10"/>
      <c r="AH20" s="10"/>
      <c r="AI20" s="10"/>
      <c r="AJ20" s="10"/>
      <c r="AK20" s="10"/>
    </row>
    <row r="21" spans="2:37" ht="15.6">
      <c r="B21" s="201"/>
      <c r="C21" s="350"/>
      <c r="D21" s="350"/>
      <c r="E21" s="351"/>
      <c r="F21" s="351"/>
      <c r="G21" s="352"/>
      <c r="H21" s="352"/>
      <c r="I21" s="352"/>
      <c r="J21" s="349"/>
      <c r="K21" s="349"/>
      <c r="L21" s="356"/>
      <c r="M21" s="202"/>
    </row>
    <row r="22" spans="2:37" ht="15.6">
      <c r="B22" s="201"/>
      <c r="C22" s="223" t="s">
        <v>370</v>
      </c>
      <c r="D22" s="223"/>
      <c r="E22" s="223"/>
      <c r="F22" s="351"/>
      <c r="G22" s="352"/>
      <c r="H22" s="352"/>
      <c r="I22" s="352"/>
      <c r="J22" s="349"/>
      <c r="K22" s="349" t="s">
        <v>371</v>
      </c>
      <c r="L22" s="356"/>
      <c r="M22" s="202"/>
    </row>
    <row r="23" spans="2:37" ht="15.6">
      <c r="B23" s="201"/>
      <c r="C23" s="396" t="s">
        <v>179</v>
      </c>
      <c r="D23" s="617"/>
      <c r="E23" s="617">
        <v>0.03</v>
      </c>
      <c r="F23" s="396" t="s">
        <v>214</v>
      </c>
      <c r="G23" s="396"/>
      <c r="H23" s="616">
        <f>'PurchaseInvoice-correct'!C48</f>
        <v>10</v>
      </c>
      <c r="I23" s="396" t="s">
        <v>144</v>
      </c>
      <c r="J23" s="396"/>
      <c r="K23" s="396" t="str">
        <f>'PurchaseInvoice-correct'!E49</f>
        <v>CIF</v>
      </c>
      <c r="L23" s="357"/>
      <c r="M23" s="202"/>
    </row>
    <row r="24" spans="2:37" ht="15.6">
      <c r="B24" s="204"/>
      <c r="C24" s="356" t="s">
        <v>180</v>
      </c>
      <c r="D24" s="356"/>
      <c r="E24" s="356"/>
      <c r="F24" s="356"/>
      <c r="G24" s="356"/>
      <c r="H24" s="356"/>
      <c r="I24" s="356"/>
      <c r="J24" s="356"/>
      <c r="K24" s="356" t="str">
        <f>'PurchaseInvoice-correct'!E50</f>
        <v>Vienna, Austria</v>
      </c>
      <c r="L24" s="356"/>
      <c r="M24" s="202"/>
    </row>
    <row r="25" spans="2:37" ht="15.6">
      <c r="B25" s="204"/>
      <c r="C25" s="356"/>
      <c r="D25" s="356"/>
      <c r="E25" s="356"/>
      <c r="F25" s="356"/>
      <c r="G25" s="356"/>
      <c r="H25" s="356"/>
      <c r="I25" s="356"/>
      <c r="J25" s="356"/>
      <c r="K25" s="356"/>
      <c r="L25" s="356"/>
      <c r="M25" s="202"/>
    </row>
    <row r="26" spans="2:37" ht="15.6">
      <c r="B26" s="204"/>
      <c r="C26" s="356" t="s">
        <v>372</v>
      </c>
      <c r="D26" s="356"/>
      <c r="E26" s="356"/>
      <c r="F26" s="356"/>
      <c r="G26" s="356"/>
      <c r="H26" s="356"/>
      <c r="I26" s="356"/>
      <c r="J26" s="356"/>
      <c r="K26" s="356"/>
      <c r="L26" s="356"/>
      <c r="M26" s="202"/>
    </row>
    <row r="27" spans="2:37" ht="15.6">
      <c r="B27" s="204"/>
      <c r="C27" s="356"/>
      <c r="D27" s="356"/>
      <c r="E27" s="356"/>
      <c r="F27" s="356"/>
      <c r="G27" s="356"/>
      <c r="H27" s="356"/>
      <c r="I27" s="356"/>
      <c r="J27" s="356"/>
      <c r="K27" s="356"/>
      <c r="L27" s="356"/>
      <c r="M27" s="202"/>
    </row>
    <row r="28" spans="2:37" ht="15.6">
      <c r="B28" s="204"/>
      <c r="C28" s="356" t="s">
        <v>373</v>
      </c>
      <c r="D28" s="356"/>
      <c r="E28" s="356"/>
      <c r="F28" s="356"/>
      <c r="G28" s="356"/>
      <c r="H28" s="356"/>
      <c r="I28" s="356"/>
      <c r="J28" s="356"/>
      <c r="K28" s="356"/>
      <c r="L28" s="356"/>
      <c r="M28" s="202"/>
    </row>
    <row r="29" spans="2:37" ht="15.6">
      <c r="B29" s="204"/>
      <c r="C29" s="356"/>
      <c r="D29" s="356"/>
      <c r="E29" s="356"/>
      <c r="F29" s="356"/>
      <c r="G29" s="356"/>
      <c r="H29" s="356"/>
      <c r="I29" s="356"/>
      <c r="J29" s="356"/>
      <c r="K29" s="356"/>
      <c r="L29" s="356"/>
      <c r="M29" s="202"/>
    </row>
    <row r="30" spans="2:37" ht="15.6">
      <c r="B30" s="204"/>
      <c r="C30" s="618" t="str">
        <f>C31</f>
        <v>Paula Sutton</v>
      </c>
      <c r="D30" s="356"/>
      <c r="E30" s="356"/>
      <c r="F30" s="356"/>
      <c r="G30" s="356"/>
      <c r="H30" s="356"/>
      <c r="I30" s="356"/>
      <c r="J30" s="356"/>
      <c r="K30" s="356"/>
      <c r="L30" s="356"/>
      <c r="M30" s="202"/>
    </row>
    <row r="31" spans="2:37" ht="15.6">
      <c r="B31" s="204"/>
      <c r="C31" s="356" t="s">
        <v>313</v>
      </c>
      <c r="D31" s="356"/>
      <c r="E31" s="356"/>
      <c r="F31" s="356"/>
      <c r="G31" s="356"/>
      <c r="H31" s="356"/>
      <c r="I31" s="356"/>
      <c r="J31" s="356"/>
      <c r="K31" s="356"/>
      <c r="L31" s="356"/>
      <c r="M31" s="202"/>
    </row>
    <row r="32" spans="2:37" ht="15.6">
      <c r="B32" s="201"/>
      <c r="C32" s="223"/>
      <c r="D32" s="223"/>
      <c r="E32" s="358"/>
      <c r="F32" s="358"/>
      <c r="G32" s="358"/>
      <c r="H32" s="358"/>
      <c r="I32" s="358"/>
      <c r="J32" s="358"/>
      <c r="K32" s="359"/>
      <c r="L32" s="360"/>
      <c r="M32" s="202"/>
    </row>
    <row r="33" spans="2:13" ht="14.4">
      <c r="B33" s="201"/>
      <c r="C33" s="399" t="s">
        <v>181</v>
      </c>
      <c r="D33" s="400"/>
      <c r="E33" s="400"/>
      <c r="F33" s="400"/>
      <c r="G33" s="401"/>
      <c r="H33" s="401"/>
      <c r="I33" s="401"/>
      <c r="J33" s="401"/>
      <c r="K33" s="400"/>
      <c r="L33" s="402"/>
      <c r="M33" s="202"/>
    </row>
    <row r="34" spans="2:13" ht="14.4">
      <c r="B34" s="201"/>
      <c r="C34" s="403" t="str">
        <f>Information!B17</f>
        <v>Vienna Bank</v>
      </c>
      <c r="D34" s="404"/>
      <c r="E34" s="405"/>
      <c r="F34" s="405"/>
      <c r="G34" s="406"/>
      <c r="H34" s="406"/>
      <c r="I34" s="406"/>
      <c r="J34" s="406"/>
      <c r="K34" s="405"/>
      <c r="L34" s="407"/>
      <c r="M34" s="202"/>
    </row>
    <row r="35" spans="2:13" ht="14.4">
      <c r="B35" s="201"/>
      <c r="C35" s="408" t="s">
        <v>20</v>
      </c>
      <c r="D35" s="409" t="str">
        <f>Information!C19</f>
        <v>AT 99 3829 0003 7408 3921</v>
      </c>
      <c r="E35" s="409"/>
      <c r="F35" s="409"/>
      <c r="G35" s="409"/>
      <c r="H35" s="410"/>
      <c r="I35" s="410"/>
      <c r="J35" s="410" t="s">
        <v>21</v>
      </c>
      <c r="K35" s="405" t="str">
        <f>Information!C20</f>
        <v>VIBKATWW</v>
      </c>
      <c r="L35" s="407"/>
      <c r="M35" s="202"/>
    </row>
    <row r="36" spans="2:13" ht="14.4">
      <c r="B36" s="201"/>
      <c r="C36" s="411" t="s">
        <v>182</v>
      </c>
      <c r="D36" s="412"/>
      <c r="E36" s="412"/>
      <c r="F36" s="412"/>
      <c r="G36" s="413"/>
      <c r="H36" s="412" t="str">
        <f>Information!F11</f>
        <v>FN 372895 w</v>
      </c>
      <c r="I36" s="412"/>
      <c r="J36" s="413" t="s">
        <v>147</v>
      </c>
      <c r="K36" s="414" t="str">
        <f>Information!E10</f>
        <v>ATU 67281579</v>
      </c>
      <c r="L36" s="415"/>
      <c r="M36" s="202"/>
    </row>
    <row r="37" spans="2:13" ht="13.8" thickBot="1">
      <c r="B37" s="205"/>
      <c r="C37" s="206"/>
      <c r="D37" s="206"/>
      <c r="E37" s="206"/>
      <c r="F37" s="206"/>
      <c r="G37" s="207"/>
      <c r="H37" s="207"/>
      <c r="I37" s="207"/>
      <c r="J37" s="207"/>
      <c r="K37" s="206"/>
      <c r="L37" s="206"/>
      <c r="M37" s="208"/>
    </row>
  </sheetData>
  <mergeCells count="1">
    <mergeCell ref="Q7:R7"/>
  </mergeCells>
  <pageMargins left="0.70866141732283472" right="0.70866141732283472" top="0.78740157480314965" bottom="0.78740157480314965" header="0.31496062992125984" footer="0.31496062992125984"/>
  <pageSetup paperSize="9" scale="78" orientation="portrait" horizontalDpi="4294967293"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57D0D-5EB1-4EE0-A6CD-74C005B34D90}">
  <dimension ref="B1:AB71"/>
  <sheetViews>
    <sheetView showGridLines="0" topLeftCell="A8" zoomScaleNormal="100" workbookViewId="0">
      <selection activeCell="B2" sqref="B2:N56"/>
    </sheetView>
  </sheetViews>
  <sheetFormatPr defaultColWidth="11.44140625" defaultRowHeight="10.199999999999999"/>
  <cols>
    <col min="1" max="1" width="1.5546875" style="1" customWidth="1"/>
    <col min="2" max="2" width="2.5546875" style="1" customWidth="1"/>
    <col min="3" max="3" width="6.44140625" style="1" customWidth="1"/>
    <col min="4" max="4" width="13.88671875" style="171" customWidth="1"/>
    <col min="5" max="5" width="31.109375" style="1" customWidth="1"/>
    <col min="6" max="6" width="10.5546875" style="1" customWidth="1"/>
    <col min="7" max="7" width="5.6640625" style="1" customWidth="1"/>
    <col min="8" max="8" width="10.5546875" style="1" customWidth="1"/>
    <col min="9" max="9" width="2.44140625" style="1" customWidth="1"/>
    <col min="10" max="10" width="8.33203125" style="1" customWidth="1"/>
    <col min="11" max="11" width="14.5546875" style="1" customWidth="1"/>
    <col min="12" max="12" width="18" style="1" customWidth="1"/>
    <col min="13" max="13" width="4.109375" style="1" customWidth="1"/>
    <col min="14" max="14" width="4.33203125" style="1" customWidth="1"/>
    <col min="15" max="15" width="3.5546875" style="1" customWidth="1"/>
    <col min="16" max="19" width="11.44140625" style="1"/>
    <col min="20" max="20" width="15.44140625" style="1" customWidth="1"/>
    <col min="21" max="21" width="13.44140625" style="1" customWidth="1"/>
    <col min="22" max="22" width="11.44140625" style="1"/>
    <col min="23" max="23" width="4.5546875" style="1" customWidth="1"/>
    <col min="24" max="25" width="11.44140625" style="1"/>
    <col min="26" max="26" width="3.33203125" style="1" customWidth="1"/>
    <col min="27" max="27" width="15.88671875" style="1" customWidth="1"/>
    <col min="28" max="16384" width="11.44140625" style="1"/>
  </cols>
  <sheetData>
    <row r="1" spans="2:28" ht="10.8" thickBot="1"/>
    <row r="2" spans="2:28" ht="26.25" customHeight="1">
      <c r="B2" s="166"/>
      <c r="C2" s="418"/>
      <c r="D2" s="419"/>
      <c r="E2" s="418"/>
      <c r="F2" s="418"/>
      <c r="G2" s="418"/>
      <c r="H2" s="418"/>
      <c r="I2" s="418"/>
      <c r="J2" s="418"/>
      <c r="K2" s="418"/>
      <c r="L2" s="418"/>
      <c r="M2" s="418"/>
      <c r="N2" s="167"/>
    </row>
    <row r="3" spans="2:28" ht="15">
      <c r="B3" s="168"/>
      <c r="C3" s="6"/>
      <c r="D3" s="210"/>
      <c r="E3" s="6"/>
      <c r="F3" s="6"/>
      <c r="G3" s="6"/>
      <c r="H3" s="6"/>
      <c r="I3" s="6"/>
      <c r="J3" s="6" t="str">
        <f>Information!B49</f>
        <v>István Molnár Kft.</v>
      </c>
      <c r="K3" s="6"/>
      <c r="L3" s="6"/>
      <c r="M3" s="6"/>
      <c r="N3" s="169"/>
    </row>
    <row r="4" spans="2:28" ht="15">
      <c r="B4" s="168"/>
      <c r="C4" s="6"/>
      <c r="D4" s="210"/>
      <c r="E4" s="6"/>
      <c r="F4" s="6"/>
      <c r="G4" s="6"/>
      <c r="H4" s="6"/>
      <c r="I4" s="6"/>
      <c r="J4" s="6" t="str">
        <f>Information!B50</f>
        <v>Csapás u. 84.</v>
      </c>
      <c r="K4" s="6"/>
      <c r="L4" s="6"/>
      <c r="M4" s="6"/>
      <c r="N4" s="169"/>
    </row>
    <row r="5" spans="2:28" ht="15">
      <c r="B5" s="168"/>
      <c r="C5" s="6"/>
      <c r="D5" s="210"/>
      <c r="E5" s="6"/>
      <c r="F5" s="6"/>
      <c r="G5" s="6"/>
      <c r="H5" s="6"/>
      <c r="I5" s="6"/>
      <c r="J5" s="6" t="str">
        <f>Information!B51</f>
        <v>2111 Szada</v>
      </c>
      <c r="K5" s="6"/>
      <c r="L5" s="6"/>
      <c r="M5" s="6"/>
      <c r="N5" s="169"/>
    </row>
    <row r="6" spans="2:28" ht="15">
      <c r="B6" s="168"/>
      <c r="C6" s="6"/>
      <c r="D6" s="210"/>
      <c r="E6" s="6"/>
      <c r="F6" s="6"/>
      <c r="G6" s="6"/>
      <c r="H6" s="6"/>
      <c r="I6" s="6"/>
      <c r="J6" s="210" t="str">
        <f>Information!B52</f>
        <v>Hungary</v>
      </c>
      <c r="K6" s="6"/>
      <c r="L6" s="6"/>
      <c r="M6" s="6"/>
      <c r="N6" s="169"/>
    </row>
    <row r="7" spans="2:28" ht="15">
      <c r="B7" s="168"/>
      <c r="C7" s="6"/>
      <c r="D7" s="210"/>
      <c r="E7" s="6"/>
      <c r="F7" s="6"/>
      <c r="G7" s="6"/>
      <c r="H7" s="6"/>
      <c r="I7" s="6"/>
      <c r="J7" s="6" t="str">
        <f>Information!B53</f>
        <v>Tel.</v>
      </c>
      <c r="K7" s="6" t="str">
        <f>Information!C53</f>
        <v>+36 20 333 4713</v>
      </c>
      <c r="L7" s="6"/>
      <c r="M7" s="6"/>
      <c r="N7" s="169"/>
    </row>
    <row r="8" spans="2:28" ht="15">
      <c r="B8" s="168"/>
      <c r="C8" s="6"/>
      <c r="D8" s="210"/>
      <c r="E8" s="6"/>
      <c r="F8" s="6"/>
      <c r="G8" s="6"/>
      <c r="H8" s="6"/>
      <c r="I8" s="6"/>
      <c r="J8" s="6" t="str">
        <f>Information!B54</f>
        <v>Email:</v>
      </c>
      <c r="K8" s="6" t="str">
        <f>Information!C54</f>
        <v>istvanmolnar@gmail.com</v>
      </c>
      <c r="L8" s="6"/>
      <c r="M8" s="6"/>
      <c r="N8" s="169"/>
    </row>
    <row r="9" spans="2:28" ht="15">
      <c r="B9" s="168"/>
      <c r="C9" s="6"/>
      <c r="D9" s="210"/>
      <c r="E9" s="6"/>
      <c r="F9" s="6"/>
      <c r="G9" s="6"/>
      <c r="H9" s="6"/>
      <c r="I9" s="6"/>
      <c r="J9" s="6" t="str">
        <f>Information!B55</f>
        <v>Web:</v>
      </c>
      <c r="K9" s="6" t="str">
        <f>Information!C55</f>
        <v>www.istvanmolnar.com</v>
      </c>
      <c r="L9" s="6"/>
      <c r="M9" s="6"/>
      <c r="N9" s="169"/>
    </row>
    <row r="10" spans="2:28" ht="15">
      <c r="B10" s="168"/>
      <c r="C10" s="6"/>
      <c r="D10" s="210"/>
      <c r="E10" s="6"/>
      <c r="F10" s="6"/>
      <c r="G10" s="6"/>
      <c r="H10" s="6"/>
      <c r="I10" s="6"/>
      <c r="J10" s="6"/>
      <c r="K10" s="6"/>
      <c r="L10" s="6"/>
      <c r="M10" s="6"/>
      <c r="N10" s="169"/>
      <c r="T10" s="1" t="s">
        <v>361</v>
      </c>
    </row>
    <row r="11" spans="2:28" ht="15">
      <c r="B11" s="168"/>
      <c r="C11" s="6"/>
      <c r="D11" s="210"/>
      <c r="E11" s="6"/>
      <c r="F11" s="6"/>
      <c r="G11" s="6"/>
      <c r="H11" s="6"/>
      <c r="I11" s="6"/>
      <c r="J11" s="6"/>
      <c r="K11" s="6"/>
      <c r="L11" s="6"/>
      <c r="M11" s="6"/>
      <c r="N11" s="169"/>
      <c r="T11" s="613">
        <v>45076</v>
      </c>
    </row>
    <row r="12" spans="2:28" ht="15">
      <c r="B12" s="168"/>
      <c r="C12" s="6"/>
      <c r="D12" s="210"/>
      <c r="E12" s="6"/>
      <c r="F12" s="6"/>
      <c r="G12" s="6"/>
      <c r="H12" s="6"/>
      <c r="I12" s="6"/>
      <c r="J12" s="6"/>
      <c r="K12" s="6"/>
      <c r="L12" s="6"/>
      <c r="M12" s="6"/>
      <c r="N12" s="169"/>
      <c r="T12" s="5"/>
      <c r="U12" s="5"/>
      <c r="V12" s="5"/>
      <c r="W12" s="5"/>
      <c r="X12" s="5"/>
      <c r="Y12" s="5"/>
      <c r="Z12" s="5"/>
      <c r="AA12" s="5"/>
    </row>
    <row r="13" spans="2:28" ht="15">
      <c r="B13" s="168"/>
      <c r="C13" s="34" t="str">
        <f>Information!B3</f>
        <v>Crann Toys GmbH</v>
      </c>
      <c r="D13" s="420"/>
      <c r="E13" s="6"/>
      <c r="F13" s="6"/>
      <c r="G13" s="6"/>
      <c r="H13" s="6"/>
      <c r="I13" s="6"/>
      <c r="J13" s="6"/>
      <c r="K13" s="6"/>
      <c r="L13" s="6"/>
      <c r="M13" s="6"/>
      <c r="N13" s="169"/>
      <c r="T13" s="5"/>
      <c r="U13" s="5"/>
      <c r="V13" s="5"/>
      <c r="W13" s="5"/>
      <c r="X13" s="5"/>
      <c r="Y13" s="5"/>
      <c r="Z13" s="5"/>
      <c r="AA13" s="5"/>
    </row>
    <row r="14" spans="2:28" ht="15">
      <c r="B14" s="168"/>
      <c r="C14" s="34" t="str">
        <f>Information!B4</f>
        <v>Cottage St. 13</v>
      </c>
      <c r="D14" s="420"/>
      <c r="E14" s="421"/>
      <c r="F14" s="6"/>
      <c r="G14" s="6"/>
      <c r="H14" s="6"/>
      <c r="I14" s="6"/>
      <c r="J14" s="6"/>
      <c r="K14" s="6"/>
      <c r="L14" s="6"/>
      <c r="M14" s="6"/>
      <c r="N14" s="169"/>
      <c r="T14" s="5" t="s">
        <v>117</v>
      </c>
      <c r="U14" s="5"/>
      <c r="V14" s="5"/>
      <c r="W14" s="256" t="s">
        <v>249</v>
      </c>
      <c r="X14" s="301">
        <v>126</v>
      </c>
      <c r="Y14" s="5"/>
      <c r="Z14" s="5"/>
      <c r="AA14" s="5"/>
    </row>
    <row r="15" spans="2:28" ht="15">
      <c r="B15" s="168"/>
      <c r="C15" s="34" t="str">
        <f>Information!B5</f>
        <v>3430 Tulln</v>
      </c>
      <c r="D15" s="420"/>
      <c r="E15" s="421"/>
      <c r="F15" s="6"/>
      <c r="G15" s="6"/>
      <c r="H15" s="6"/>
      <c r="I15" s="6"/>
      <c r="J15" s="6"/>
      <c r="K15" s="6"/>
      <c r="L15" s="6"/>
      <c r="M15" s="6"/>
      <c r="N15" s="169"/>
      <c r="T15" s="5"/>
      <c r="U15" s="5"/>
      <c r="V15" s="5"/>
      <c r="W15" s="5"/>
      <c r="X15" s="5"/>
      <c r="Y15" s="5"/>
      <c r="Z15" s="5"/>
      <c r="AA15" s="5"/>
    </row>
    <row r="16" spans="2:28" ht="15">
      <c r="B16" s="168"/>
      <c r="C16" s="421" t="s">
        <v>15</v>
      </c>
      <c r="D16" s="421"/>
      <c r="E16" s="421"/>
      <c r="F16" s="6"/>
      <c r="G16" s="6"/>
      <c r="H16" s="6"/>
      <c r="I16" s="6"/>
      <c r="J16" s="6"/>
      <c r="K16" s="6"/>
      <c r="L16" s="6"/>
      <c r="M16" s="6"/>
      <c r="N16" s="169"/>
      <c r="T16" s="5" t="s">
        <v>25</v>
      </c>
      <c r="U16" s="6"/>
      <c r="V16" s="7">
        <v>1</v>
      </c>
      <c r="W16" s="6" t="s">
        <v>26</v>
      </c>
      <c r="X16" s="6" t="str">
        <f>K28</f>
        <v>HUF</v>
      </c>
      <c r="Y16" s="318">
        <f>ROUND(AA16+(AA16*0.3%),4)</f>
        <v>365.34379999999999</v>
      </c>
      <c r="Z16" s="8" t="s">
        <v>27</v>
      </c>
      <c r="AA16" s="319">
        <v>364.25099999999998</v>
      </c>
      <c r="AB16"/>
    </row>
    <row r="17" spans="2:28" ht="15">
      <c r="B17" s="168"/>
      <c r="C17" s="421"/>
      <c r="D17" s="421"/>
      <c r="E17" s="421"/>
      <c r="F17" s="6"/>
      <c r="G17" s="6"/>
      <c r="H17" s="6"/>
      <c r="I17" s="6"/>
      <c r="J17" s="422" t="s">
        <v>0</v>
      </c>
      <c r="K17" s="422"/>
      <c r="L17" s="725">
        <v>78</v>
      </c>
      <c r="M17" s="726"/>
      <c r="N17" s="169"/>
      <c r="T17" s="6"/>
      <c r="U17" s="6"/>
      <c r="V17" s="6"/>
      <c r="W17" s="6"/>
      <c r="X17" s="6"/>
      <c r="Y17" s="8"/>
      <c r="Z17" s="8"/>
      <c r="AA17" s="9"/>
      <c r="AB17"/>
    </row>
    <row r="18" spans="2:28" ht="15">
      <c r="B18" s="168"/>
      <c r="C18" s="210"/>
      <c r="D18" s="210"/>
      <c r="E18" s="210"/>
      <c r="F18" s="6"/>
      <c r="G18" s="6"/>
      <c r="H18" s="6"/>
      <c r="I18" s="6"/>
      <c r="J18" s="423" t="s">
        <v>1</v>
      </c>
      <c r="K18" s="423"/>
      <c r="L18" s="727">
        <f>'PurchaseInvoice-correct'!L18</f>
        <v>44862</v>
      </c>
      <c r="M18" s="728"/>
      <c r="N18" s="169"/>
      <c r="T18" s="10"/>
      <c r="U18" s="10"/>
      <c r="V18" s="10"/>
      <c r="W18" s="10"/>
      <c r="X18" s="10"/>
      <c r="Y18" s="10"/>
      <c r="Z18" s="10"/>
      <c r="AA18" s="10"/>
      <c r="AB18"/>
    </row>
    <row r="19" spans="2:28" ht="15">
      <c r="B19" s="168"/>
      <c r="C19" s="210"/>
      <c r="D19" s="210"/>
      <c r="E19" s="210"/>
      <c r="F19" s="6"/>
      <c r="G19" s="6"/>
      <c r="H19" s="6"/>
      <c r="I19" s="6"/>
      <c r="J19" s="423" t="s">
        <v>2</v>
      </c>
      <c r="K19" s="423"/>
      <c r="L19" s="727">
        <f>L18</f>
        <v>44862</v>
      </c>
      <c r="M19" s="728"/>
      <c r="N19" s="169"/>
      <c r="T19" s="6" t="s">
        <v>32</v>
      </c>
      <c r="U19" s="6"/>
      <c r="V19" s="6"/>
      <c r="W19" s="6" t="str">
        <f>Information!B3</f>
        <v>Crann Toys GmbH</v>
      </c>
      <c r="X19" s="6"/>
      <c r="Y19" s="9"/>
      <c r="Z19" s="9"/>
      <c r="AA19" s="10"/>
      <c r="AB19"/>
    </row>
    <row r="20" spans="2:28" ht="15.6">
      <c r="B20" s="168"/>
      <c r="C20" s="210"/>
      <c r="D20" s="210"/>
      <c r="E20" s="210"/>
      <c r="F20" s="6"/>
      <c r="G20" s="6"/>
      <c r="H20" s="6"/>
      <c r="I20" s="6"/>
      <c r="J20" s="423" t="s">
        <v>11</v>
      </c>
      <c r="K20" s="423"/>
      <c r="L20" s="727">
        <f>'PurchaseInvoice-correct'!L20</f>
        <v>44863</v>
      </c>
      <c r="M20" s="728"/>
      <c r="N20" s="169"/>
      <c r="T20" s="11"/>
      <c r="U20" s="11"/>
      <c r="V20" s="11"/>
      <c r="W20" s="11"/>
      <c r="X20" s="11"/>
      <c r="Y20" s="11"/>
      <c r="Z20" s="11"/>
      <c r="AA20" s="11"/>
      <c r="AB20"/>
    </row>
    <row r="21" spans="2:28" ht="15">
      <c r="B21" s="168"/>
      <c r="C21" s="210"/>
      <c r="D21" s="210"/>
      <c r="E21" s="210"/>
      <c r="F21" s="6"/>
      <c r="G21" s="6"/>
      <c r="H21" s="6"/>
      <c r="I21" s="6"/>
      <c r="J21" s="423" t="s">
        <v>3</v>
      </c>
      <c r="K21" s="423"/>
      <c r="L21" s="729">
        <v>20288</v>
      </c>
      <c r="M21" s="730"/>
      <c r="N21" s="169"/>
      <c r="T21" s="6" t="s">
        <v>31</v>
      </c>
      <c r="U21" s="6"/>
      <c r="V21" s="6"/>
      <c r="W21" s="6"/>
      <c r="X21" s="6"/>
      <c r="Y21" s="9"/>
      <c r="Z21" s="9"/>
      <c r="AA21" s="12">
        <f>Information!J2-1</f>
        <v>44925</v>
      </c>
      <c r="AB21"/>
    </row>
    <row r="22" spans="2:28" ht="15">
      <c r="B22" s="168"/>
      <c r="C22" s="210"/>
      <c r="D22" s="210"/>
      <c r="E22" s="210"/>
      <c r="F22" s="6"/>
      <c r="G22" s="6"/>
      <c r="H22" s="6"/>
      <c r="I22" s="6"/>
      <c r="J22" s="424"/>
      <c r="K22" s="611"/>
      <c r="L22" s="558"/>
      <c r="M22" s="559"/>
      <c r="N22" s="169"/>
      <c r="T22" s="6"/>
      <c r="U22" s="6"/>
      <c r="V22" s="6"/>
      <c r="W22" s="6"/>
      <c r="X22" s="6"/>
      <c r="Y22" s="9"/>
      <c r="Z22" s="9"/>
      <c r="AA22" s="12"/>
      <c r="AB22"/>
    </row>
    <row r="23" spans="2:28" ht="15">
      <c r="B23" s="168"/>
      <c r="C23" s="210"/>
      <c r="D23" s="210"/>
      <c r="E23" s="210"/>
      <c r="F23" s="6"/>
      <c r="G23" s="6"/>
      <c r="H23" s="6"/>
      <c r="I23" s="6"/>
      <c r="J23" s="6"/>
      <c r="K23" s="34"/>
      <c r="L23" s="731"/>
      <c r="M23" s="731"/>
      <c r="N23" s="169"/>
      <c r="T23" s="6" t="s">
        <v>28</v>
      </c>
      <c r="U23" s="10"/>
      <c r="V23" s="10"/>
      <c r="W23" s="10"/>
      <c r="X23" s="9" t="s">
        <v>33</v>
      </c>
      <c r="Y23" s="165">
        <f>'Bank Statement-noInfo'!K5</f>
        <v>3</v>
      </c>
      <c r="Z23" s="10"/>
      <c r="AA23" s="10"/>
      <c r="AB23"/>
    </row>
    <row r="24" spans="2:28" ht="15">
      <c r="B24" s="168"/>
      <c r="C24" s="6"/>
      <c r="D24" s="210"/>
      <c r="E24" s="6"/>
      <c r="F24" s="6"/>
      <c r="G24" s="6"/>
      <c r="H24" s="723"/>
      <c r="I24" s="723"/>
      <c r="J24" s="421"/>
      <c r="K24" s="6" t="s">
        <v>5</v>
      </c>
      <c r="L24" s="425" t="s">
        <v>284</v>
      </c>
      <c r="M24" s="6"/>
      <c r="N24" s="169"/>
      <c r="T24" s="10"/>
      <c r="U24" s="10"/>
      <c r="V24" s="7">
        <v>1</v>
      </c>
      <c r="W24" s="6" t="s">
        <v>26</v>
      </c>
      <c r="X24" s="6" t="str">
        <f>K28</f>
        <v>HUF</v>
      </c>
      <c r="Y24" s="318">
        <f>ROUND(AA16-(AA16*0.04%),4)</f>
        <v>364.1053</v>
      </c>
      <c r="Z24" s="8"/>
      <c r="AA24" s="13"/>
      <c r="AB24"/>
    </row>
    <row r="25" spans="2:28" ht="15">
      <c r="B25" s="168"/>
      <c r="C25" s="6"/>
      <c r="D25" s="210"/>
      <c r="E25" s="6"/>
      <c r="F25" s="6"/>
      <c r="G25" s="6"/>
      <c r="H25" s="6"/>
      <c r="I25" s="6"/>
      <c r="J25" s="6"/>
      <c r="K25" s="6" t="s">
        <v>4</v>
      </c>
      <c r="L25" s="425" t="s">
        <v>285</v>
      </c>
      <c r="M25" s="6"/>
      <c r="N25" s="169"/>
      <c r="T25"/>
      <c r="U25"/>
      <c r="V25"/>
      <c r="W25"/>
      <c r="X25"/>
      <c r="Y25"/>
      <c r="Z25"/>
      <c r="AA25"/>
      <c r="AB25"/>
    </row>
    <row r="26" spans="2:28" ht="15">
      <c r="B26" s="168"/>
      <c r="C26" s="6"/>
      <c r="D26" s="210"/>
      <c r="E26" s="6"/>
      <c r="F26" s="6"/>
      <c r="G26" s="6"/>
      <c r="H26" s="6"/>
      <c r="I26" s="6"/>
      <c r="J26" s="6"/>
      <c r="K26" s="6"/>
      <c r="L26" s="6"/>
      <c r="M26" s="6"/>
      <c r="N26" s="169"/>
      <c r="T26" s="6" t="s">
        <v>29</v>
      </c>
      <c r="U26" s="6"/>
      <c r="V26" s="6"/>
      <c r="W26" s="6" t="s">
        <v>30</v>
      </c>
      <c r="X26" s="189">
        <v>5.8</v>
      </c>
      <c r="Y26" s="6"/>
      <c r="Z26" s="6"/>
      <c r="AA26" s="14"/>
      <c r="AB26"/>
    </row>
    <row r="27" spans="2:28" ht="15.6">
      <c r="B27" s="168"/>
      <c r="C27" s="426"/>
      <c r="D27" s="427" t="s">
        <v>7</v>
      </c>
      <c r="E27" s="426" t="s">
        <v>6</v>
      </c>
      <c r="F27" s="426"/>
      <c r="G27" s="426"/>
      <c r="H27" s="426" t="s">
        <v>14</v>
      </c>
      <c r="I27" s="426"/>
      <c r="J27" s="426"/>
      <c r="K27" s="428" t="s">
        <v>12</v>
      </c>
      <c r="L27" s="429" t="s">
        <v>13</v>
      </c>
      <c r="M27" s="426"/>
      <c r="N27" s="169"/>
    </row>
    <row r="28" spans="2:28" ht="15.6">
      <c r="B28" s="168"/>
      <c r="C28" s="426"/>
      <c r="D28" s="427"/>
      <c r="E28" s="426"/>
      <c r="F28" s="426"/>
      <c r="G28" s="426"/>
      <c r="H28" s="426"/>
      <c r="I28" s="426"/>
      <c r="J28" s="426"/>
      <c r="K28" s="428" t="s">
        <v>286</v>
      </c>
      <c r="L28" s="429"/>
      <c r="M28" s="426"/>
      <c r="N28" s="169"/>
    </row>
    <row r="29" spans="2:28" ht="15">
      <c r="B29" s="168"/>
      <c r="C29" s="6"/>
      <c r="D29" s="210"/>
      <c r="E29" s="6"/>
      <c r="F29" s="6"/>
      <c r="G29" s="6"/>
      <c r="H29" s="6"/>
      <c r="I29" s="6"/>
      <c r="J29" s="6"/>
      <c r="K29" s="136"/>
      <c r="L29" s="136"/>
      <c r="M29" s="6"/>
      <c r="N29" s="169"/>
      <c r="T29" s="6"/>
      <c r="U29" s="6"/>
      <c r="V29" s="6"/>
    </row>
    <row r="30" spans="2:28" ht="15">
      <c r="B30" s="168"/>
      <c r="C30" s="425"/>
      <c r="D30" s="421">
        <v>48819</v>
      </c>
      <c r="E30" s="425" t="s">
        <v>295</v>
      </c>
      <c r="F30" s="425"/>
      <c r="G30" s="425"/>
      <c r="H30" s="430">
        <v>3000</v>
      </c>
      <c r="I30" s="425"/>
      <c r="J30" s="425"/>
      <c r="K30" s="431">
        <v>12000</v>
      </c>
      <c r="L30" s="136">
        <f t="shared" ref="L30:L39" si="0">IF(H30&gt;0,H30*K30," ")</f>
        <v>36000000</v>
      </c>
      <c r="M30" s="425"/>
      <c r="N30" s="169"/>
      <c r="T30" s="6"/>
      <c r="U30" s="136"/>
      <c r="V30" s="6"/>
      <c r="W30" s="6"/>
    </row>
    <row r="31" spans="2:28" ht="15">
      <c r="B31" s="168"/>
      <c r="C31" s="425"/>
      <c r="D31" s="421"/>
      <c r="E31" s="425"/>
      <c r="F31" s="425"/>
      <c r="G31" s="425"/>
      <c r="H31" s="431"/>
      <c r="I31" s="425"/>
      <c r="J31" s="425"/>
      <c r="K31" s="431"/>
      <c r="L31" s="136" t="str">
        <f t="shared" si="0"/>
        <v xml:space="preserve"> </v>
      </c>
      <c r="M31" s="425"/>
      <c r="N31" s="169"/>
      <c r="T31" s="6"/>
      <c r="U31" s="6"/>
      <c r="V31" s="6"/>
    </row>
    <row r="32" spans="2:28" ht="15">
      <c r="B32" s="168"/>
      <c r="C32" s="425"/>
      <c r="D32" s="421"/>
      <c r="E32" s="425"/>
      <c r="F32" s="425"/>
      <c r="G32" s="425"/>
      <c r="H32" s="431"/>
      <c r="I32" s="425"/>
      <c r="J32" s="425"/>
      <c r="K32" s="431"/>
      <c r="L32" s="136" t="str">
        <f t="shared" si="0"/>
        <v xml:space="preserve"> </v>
      </c>
      <c r="M32" s="425"/>
      <c r="N32" s="169"/>
      <c r="T32" s="6"/>
      <c r="U32" s="136"/>
      <c r="V32" s="6"/>
      <c r="W32" s="6"/>
    </row>
    <row r="33" spans="2:25" ht="15">
      <c r="B33" s="168"/>
      <c r="C33" s="425"/>
      <c r="D33" s="421">
        <v>217188</v>
      </c>
      <c r="E33" s="34" t="s">
        <v>384</v>
      </c>
      <c r="F33" s="425"/>
      <c r="G33" s="425"/>
      <c r="H33" s="430">
        <v>500</v>
      </c>
      <c r="I33" s="425"/>
      <c r="J33" s="425"/>
      <c r="K33" s="431">
        <v>138500</v>
      </c>
      <c r="L33" s="136">
        <f t="shared" si="0"/>
        <v>69250000</v>
      </c>
      <c r="M33" s="425"/>
      <c r="N33" s="169"/>
    </row>
    <row r="34" spans="2:25" ht="15">
      <c r="B34" s="168"/>
      <c r="C34" s="425"/>
      <c r="D34" s="421"/>
      <c r="E34" s="425"/>
      <c r="F34" s="425"/>
      <c r="G34" s="425"/>
      <c r="H34" s="431"/>
      <c r="I34" s="425"/>
      <c r="J34" s="425"/>
      <c r="K34" s="431"/>
      <c r="L34" s="136"/>
      <c r="M34" s="425"/>
      <c r="N34" s="169"/>
    </row>
    <row r="35" spans="2:25" ht="15">
      <c r="B35" s="168"/>
      <c r="C35" s="425"/>
      <c r="D35" s="421"/>
      <c r="E35" s="34"/>
      <c r="F35" s="425"/>
      <c r="G35" s="425"/>
      <c r="H35" s="431"/>
      <c r="I35" s="425"/>
      <c r="J35" s="425"/>
      <c r="K35" s="431"/>
      <c r="L35" s="136"/>
      <c r="M35" s="425"/>
      <c r="N35" s="169"/>
    </row>
    <row r="36" spans="2:25" ht="15">
      <c r="B36" s="168"/>
      <c r="C36" s="425"/>
      <c r="D36" s="421"/>
      <c r="E36" s="425"/>
      <c r="F36" s="425"/>
      <c r="G36" s="425"/>
      <c r="H36" s="431"/>
      <c r="I36" s="425"/>
      <c r="J36" s="425"/>
      <c r="K36" s="431"/>
      <c r="L36" s="136"/>
      <c r="M36" s="425"/>
      <c r="N36" s="169"/>
    </row>
    <row r="37" spans="2:25" ht="15">
      <c r="B37" s="168"/>
      <c r="C37" s="425"/>
      <c r="D37" s="421"/>
      <c r="E37" s="425"/>
      <c r="F37" s="425"/>
      <c r="G37" s="425"/>
      <c r="H37" s="431"/>
      <c r="I37" s="425"/>
      <c r="J37" s="425"/>
      <c r="K37" s="431"/>
      <c r="L37" s="136" t="str">
        <f t="shared" si="0"/>
        <v xml:space="preserve"> </v>
      </c>
      <c r="M37" s="425"/>
      <c r="N37" s="169"/>
      <c r="T37" s="6"/>
      <c r="U37" s="6"/>
      <c r="V37" s="6"/>
      <c r="W37" s="6"/>
      <c r="X37" s="6"/>
      <c r="Y37" s="6"/>
    </row>
    <row r="38" spans="2:25" ht="15">
      <c r="B38" s="168"/>
      <c r="C38" s="425"/>
      <c r="D38" s="421"/>
      <c r="E38" s="425"/>
      <c r="F38" s="425"/>
      <c r="G38" s="425"/>
      <c r="H38" s="431"/>
      <c r="I38" s="425"/>
      <c r="J38" s="425"/>
      <c r="K38" s="431"/>
      <c r="L38" s="136" t="str">
        <f t="shared" si="0"/>
        <v xml:space="preserve"> </v>
      </c>
      <c r="M38" s="425"/>
      <c r="N38" s="169"/>
      <c r="T38" s="6"/>
      <c r="U38" s="6"/>
      <c r="V38" s="6"/>
      <c r="W38" s="6"/>
      <c r="X38" s="6"/>
      <c r="Y38" s="6"/>
    </row>
    <row r="39" spans="2:25" ht="15">
      <c r="B39" s="168"/>
      <c r="C39" s="425"/>
      <c r="D39" s="421"/>
      <c r="E39" s="425"/>
      <c r="F39" s="425"/>
      <c r="G39" s="425"/>
      <c r="H39" s="431"/>
      <c r="I39" s="425"/>
      <c r="J39" s="425"/>
      <c r="K39" s="431"/>
      <c r="L39" s="136" t="str">
        <f t="shared" si="0"/>
        <v xml:space="preserve"> </v>
      </c>
      <c r="M39" s="425"/>
      <c r="N39" s="169"/>
      <c r="T39" s="187"/>
      <c r="U39" s="6"/>
      <c r="V39" s="6"/>
      <c r="W39" s="6"/>
      <c r="X39" s="6"/>
      <c r="Y39" s="6"/>
    </row>
    <row r="40" spans="2:25" ht="15.6">
      <c r="B40" s="168"/>
      <c r="C40" s="209"/>
      <c r="D40" s="432"/>
      <c r="E40" s="426" t="s">
        <v>10</v>
      </c>
      <c r="F40" s="209"/>
      <c r="G40" s="209"/>
      <c r="H40" s="209"/>
      <c r="I40" s="209"/>
      <c r="J40" s="209"/>
      <c r="K40" s="428" t="str">
        <f>K28</f>
        <v>HUF</v>
      </c>
      <c r="L40" s="136">
        <f>SUM(L30:L39)</f>
        <v>105250000</v>
      </c>
      <c r="M40" s="6"/>
      <c r="N40" s="169"/>
      <c r="T40" s="188"/>
      <c r="U40" s="6"/>
      <c r="V40" s="6"/>
      <c r="W40" s="6"/>
      <c r="X40" s="6"/>
      <c r="Y40" s="6"/>
    </row>
    <row r="41" spans="2:25" ht="15">
      <c r="B41" s="168"/>
      <c r="C41" s="6"/>
      <c r="D41" s="210"/>
      <c r="E41" s="6"/>
      <c r="F41" s="6"/>
      <c r="G41" s="6"/>
      <c r="H41" s="6"/>
      <c r="I41" s="6"/>
      <c r="J41" s="6"/>
      <c r="K41" s="433"/>
      <c r="L41" s="136"/>
      <c r="M41" s="6"/>
      <c r="N41" s="169"/>
      <c r="T41" s="188"/>
      <c r="U41" s="6"/>
      <c r="V41" s="6"/>
      <c r="W41" s="6"/>
      <c r="X41" s="6"/>
      <c r="Y41" s="6"/>
    </row>
    <row r="42" spans="2:25" ht="15">
      <c r="B42" s="168"/>
      <c r="C42" s="6"/>
      <c r="D42" s="210"/>
      <c r="E42" s="136" t="s">
        <v>16</v>
      </c>
      <c r="F42" s="6"/>
      <c r="G42" s="6"/>
      <c r="H42" s="6"/>
      <c r="I42" s="6"/>
      <c r="J42" s="6"/>
      <c r="K42" s="433"/>
      <c r="L42" s="433">
        <v>0</v>
      </c>
      <c r="M42" s="6"/>
      <c r="N42" s="169"/>
    </row>
    <row r="43" spans="2:25" ht="15">
      <c r="B43" s="168"/>
      <c r="C43" s="6"/>
      <c r="D43" s="210"/>
      <c r="E43" s="6"/>
      <c r="F43" s="6"/>
      <c r="G43" s="6"/>
      <c r="H43" s="6"/>
      <c r="I43" s="6"/>
      <c r="J43" s="6"/>
      <c r="K43" s="433"/>
      <c r="L43" s="136"/>
      <c r="M43" s="6"/>
      <c r="N43" s="169"/>
    </row>
    <row r="44" spans="2:25" ht="15.6">
      <c r="B44" s="168"/>
      <c r="C44" s="209"/>
      <c r="D44" s="432"/>
      <c r="E44" s="426" t="s">
        <v>9</v>
      </c>
      <c r="F44" s="209"/>
      <c r="G44" s="209"/>
      <c r="H44" s="209"/>
      <c r="I44" s="209"/>
      <c r="J44" s="209"/>
      <c r="K44" s="428" t="str">
        <f>K28</f>
        <v>HUF</v>
      </c>
      <c r="L44" s="136">
        <f>SUM(L40:L43)</f>
        <v>105250000</v>
      </c>
      <c r="M44" s="6"/>
      <c r="N44" s="169"/>
    </row>
    <row r="45" spans="2:25" ht="13.2">
      <c r="B45" s="168"/>
      <c r="C45" s="2"/>
      <c r="D45" s="268"/>
      <c r="E45" s="2"/>
      <c r="F45" s="2"/>
      <c r="G45" s="2"/>
      <c r="H45" s="2"/>
      <c r="L45" s="172"/>
      <c r="N45" s="169"/>
    </row>
    <row r="46" spans="2:25" ht="13.2">
      <c r="B46" s="168"/>
      <c r="C46" s="724" t="s">
        <v>8</v>
      </c>
      <c r="D46" s="724"/>
      <c r="E46" s="724"/>
      <c r="F46" s="724"/>
      <c r="G46" s="170"/>
      <c r="H46" s="2"/>
      <c r="L46" s="172"/>
      <c r="N46" s="169"/>
    </row>
    <row r="47" spans="2:25" ht="13.2">
      <c r="B47" s="168"/>
      <c r="C47" s="416">
        <v>0.03</v>
      </c>
      <c r="D47" s="268" t="s">
        <v>142</v>
      </c>
      <c r="E47" s="2" t="s">
        <v>143</v>
      </c>
      <c r="F47" s="2"/>
      <c r="G47" s="2"/>
      <c r="H47" s="2"/>
      <c r="L47" s="172"/>
      <c r="N47" s="169"/>
    </row>
    <row r="48" spans="2:25" ht="13.2">
      <c r="B48" s="168"/>
      <c r="C48" s="417">
        <v>10</v>
      </c>
      <c r="D48" s="268" t="s">
        <v>144</v>
      </c>
      <c r="E48" s="2"/>
      <c r="F48" s="2"/>
      <c r="G48" s="2"/>
      <c r="H48" s="2"/>
      <c r="L48" s="172"/>
      <c r="N48" s="169"/>
    </row>
    <row r="49" spans="2:14" ht="13.2">
      <c r="B49" s="168"/>
      <c r="C49" s="416" t="s">
        <v>257</v>
      </c>
      <c r="D49" s="268"/>
      <c r="E49" s="2" t="s">
        <v>291</v>
      </c>
      <c r="F49" s="2"/>
      <c r="G49" s="2"/>
      <c r="H49" s="2"/>
      <c r="L49" s="172"/>
      <c r="N49" s="169"/>
    </row>
    <row r="50" spans="2:14" ht="13.2">
      <c r="B50" s="168"/>
      <c r="C50" s="724"/>
      <c r="D50" s="724"/>
      <c r="E50" s="2" t="str">
        <f>'Transport CostsPur'!D22</f>
        <v>Vienna, Austria</v>
      </c>
      <c r="F50" s="2"/>
      <c r="G50" s="2"/>
      <c r="H50" s="2"/>
      <c r="L50" s="172"/>
      <c r="N50" s="169"/>
    </row>
    <row r="51" spans="2:14" ht="13.2">
      <c r="B51" s="168"/>
      <c r="C51" s="724"/>
      <c r="D51" s="724"/>
      <c r="E51" s="2"/>
      <c r="F51" s="2"/>
      <c r="G51" s="2"/>
      <c r="H51" s="2"/>
      <c r="L51" s="172"/>
      <c r="N51" s="169"/>
    </row>
    <row r="52" spans="2:14" ht="13.2">
      <c r="B52" s="168"/>
      <c r="C52" s="2"/>
      <c r="D52" s="268"/>
      <c r="E52" s="2"/>
      <c r="F52" s="2"/>
      <c r="G52" s="2"/>
      <c r="H52" s="2"/>
      <c r="N52" s="169"/>
    </row>
    <row r="53" spans="2:14" ht="13.2">
      <c r="B53" s="168"/>
      <c r="C53" s="2" t="s">
        <v>115</v>
      </c>
      <c r="D53" s="268"/>
      <c r="E53" s="2" t="s">
        <v>292</v>
      </c>
      <c r="F53" s="2" t="str">
        <f>Information!B56</f>
        <v>VAT No.</v>
      </c>
      <c r="G53" s="2" t="str">
        <f>Information!C56</f>
        <v>HU 14066113</v>
      </c>
      <c r="H53" s="2"/>
      <c r="N53" s="169"/>
    </row>
    <row r="54" spans="2:14" ht="13.2">
      <c r="B54" s="168"/>
      <c r="C54" s="2" t="s">
        <v>116</v>
      </c>
      <c r="D54" s="268" t="str">
        <f>Information!C60</f>
        <v>UniCredit Bank</v>
      </c>
      <c r="E54" s="2" t="str">
        <f>Information!D60</f>
        <v>Hungary</v>
      </c>
      <c r="F54" s="2"/>
      <c r="G54" s="2"/>
      <c r="H54" s="2"/>
      <c r="N54" s="169"/>
    </row>
    <row r="55" spans="2:14" ht="13.2">
      <c r="B55" s="168"/>
      <c r="C55" s="2" t="s">
        <v>20</v>
      </c>
      <c r="D55" s="268" t="str">
        <f>Information!C61</f>
        <v xml:space="preserve">HU42 1093 0000 1690 0014 2347 </v>
      </c>
      <c r="E55" s="173"/>
      <c r="F55" s="2" t="s">
        <v>21</v>
      </c>
      <c r="G55" s="2" t="str">
        <f>Information!C62</f>
        <v>BACX CZ PP</v>
      </c>
      <c r="H55" s="2"/>
      <c r="N55" s="169"/>
    </row>
    <row r="56" spans="2:14" ht="14.25" customHeight="1" thickBot="1">
      <c r="B56" s="174"/>
      <c r="C56" s="175"/>
      <c r="D56" s="270"/>
      <c r="E56" s="176"/>
      <c r="F56" s="176"/>
      <c r="G56" s="176"/>
      <c r="H56" s="177"/>
      <c r="I56" s="177"/>
      <c r="J56" s="177"/>
      <c r="K56" s="177"/>
      <c r="L56" s="175"/>
      <c r="M56" s="175"/>
      <c r="N56" s="178"/>
    </row>
    <row r="58" spans="2:14" ht="15.9" customHeight="1"/>
    <row r="59" spans="2:14" s="565" customFormat="1" ht="15.9" customHeight="1">
      <c r="D59" s="589" t="s">
        <v>375</v>
      </c>
      <c r="E59" s="565" t="s">
        <v>376</v>
      </c>
      <c r="F59" s="565" t="s">
        <v>377</v>
      </c>
    </row>
    <row r="60" spans="2:14" s="565" customFormat="1" ht="15.9" customHeight="1">
      <c r="D60" s="589"/>
      <c r="E60" s="565" t="s">
        <v>378</v>
      </c>
      <c r="F60" s="565" t="s">
        <v>379</v>
      </c>
    </row>
    <row r="61" spans="2:14" s="565" customFormat="1" ht="15.9" customHeight="1">
      <c r="D61" s="589"/>
      <c r="E61" s="565" t="s">
        <v>380</v>
      </c>
      <c r="F61" s="565" t="s">
        <v>381</v>
      </c>
    </row>
    <row r="62" spans="2:14" ht="15.9" customHeight="1"/>
    <row r="63" spans="2:14" ht="15.9" customHeight="1">
      <c r="E63" s="135" t="s">
        <v>251</v>
      </c>
    </row>
    <row r="64" spans="2:14" ht="15.9" customHeight="1">
      <c r="E64" s="135" t="s">
        <v>337</v>
      </c>
      <c r="F64" s="365">
        <v>45074</v>
      </c>
    </row>
    <row r="65" spans="5:5" ht="15.9" customHeight="1">
      <c r="E65" s="135"/>
    </row>
    <row r="66" spans="5:5" ht="15.9" customHeight="1">
      <c r="E66" s="305"/>
    </row>
    <row r="67" spans="5:5" ht="15.9" customHeight="1"/>
    <row r="68" spans="5:5" ht="15.9" customHeight="1"/>
    <row r="69" spans="5:5" ht="15.9" customHeight="1"/>
    <row r="70" spans="5:5" ht="15.9" customHeight="1"/>
    <row r="71" spans="5:5" ht="15.9" customHeight="1"/>
  </sheetData>
  <mergeCells count="10">
    <mergeCell ref="H24:I24"/>
    <mergeCell ref="C46:F46"/>
    <mergeCell ref="C50:D50"/>
    <mergeCell ref="C51:D51"/>
    <mergeCell ref="L17:M17"/>
    <mergeCell ref="L18:M18"/>
    <mergeCell ref="L19:M19"/>
    <mergeCell ref="L20:M20"/>
    <mergeCell ref="L21:M21"/>
    <mergeCell ref="L23:M23"/>
  </mergeCells>
  <pageMargins left="0.56999999999999995" right="0.21" top="0.36" bottom="0.59" header="0.4921259845" footer="0.4921259845"/>
  <pageSetup paperSize="9" scale="87"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Z71"/>
  <sheetViews>
    <sheetView showGridLines="0" topLeftCell="A4" zoomScaleNormal="100" workbookViewId="0">
      <selection activeCell="N56" sqref="B2:N56"/>
    </sheetView>
  </sheetViews>
  <sheetFormatPr defaultColWidth="11.44140625" defaultRowHeight="10.199999999999999"/>
  <cols>
    <col min="1" max="1" width="1.5546875" style="1" customWidth="1"/>
    <col min="2" max="2" width="2.5546875" style="1" customWidth="1"/>
    <col min="3" max="3" width="6.44140625" style="1" customWidth="1"/>
    <col min="4" max="4" width="13.88671875" style="171" customWidth="1"/>
    <col min="5" max="5" width="33" style="1" customWidth="1"/>
    <col min="6" max="6" width="10.5546875" style="1" customWidth="1"/>
    <col min="7" max="7" width="5.6640625" style="1" customWidth="1"/>
    <col min="8" max="8" width="10.5546875" style="1" customWidth="1"/>
    <col min="9" max="9" width="2.44140625" style="1" customWidth="1"/>
    <col min="10" max="10" width="8.33203125" style="1" customWidth="1"/>
    <col min="11" max="11" width="14.5546875" style="1" customWidth="1"/>
    <col min="12" max="12" width="15.6640625" style="1" customWidth="1"/>
    <col min="13" max="13" width="4.109375" style="1" customWidth="1"/>
    <col min="14" max="14" width="4.33203125" style="1" customWidth="1"/>
    <col min="15" max="15" width="3.5546875" style="1" customWidth="1"/>
    <col min="16" max="16" width="55" style="1" customWidth="1"/>
    <col min="17" max="17" width="11.44140625" style="1"/>
    <col min="18" max="18" width="15.44140625" style="1" customWidth="1"/>
    <col min="19" max="19" width="13.44140625" style="1" customWidth="1"/>
    <col min="20" max="20" width="11.44140625" style="1"/>
    <col min="21" max="21" width="4.5546875" style="1" customWidth="1"/>
    <col min="22" max="23" width="11.44140625" style="1"/>
    <col min="24" max="24" width="3.33203125" style="1" customWidth="1"/>
    <col min="25" max="25" width="15.88671875" style="1" customWidth="1"/>
    <col min="26" max="16384" width="11.44140625" style="1"/>
  </cols>
  <sheetData>
    <row r="1" spans="2:26" ht="10.8" thickBot="1"/>
    <row r="2" spans="2:26" ht="26.25" customHeight="1">
      <c r="B2" s="166"/>
      <c r="C2" s="418"/>
      <c r="D2" s="419"/>
      <c r="E2" s="418"/>
      <c r="F2" s="418"/>
      <c r="G2" s="418"/>
      <c r="H2" s="418"/>
      <c r="I2" s="418"/>
      <c r="J2" s="418"/>
      <c r="K2" s="418"/>
      <c r="L2" s="418"/>
      <c r="M2" s="418"/>
      <c r="N2" s="167"/>
    </row>
    <row r="3" spans="2:26" ht="15">
      <c r="B3" s="168"/>
      <c r="C3" s="6"/>
      <c r="D3" s="210"/>
      <c r="E3" s="6"/>
      <c r="F3" s="6"/>
      <c r="G3" s="6"/>
      <c r="H3" s="6"/>
      <c r="I3" s="6"/>
      <c r="J3" s="6" t="str">
        <f>Information!B49</f>
        <v>István Molnár Kft.</v>
      </c>
      <c r="K3" s="6"/>
      <c r="L3" s="6"/>
      <c r="M3" s="6"/>
      <c r="N3" s="169"/>
    </row>
    <row r="4" spans="2:26" ht="15">
      <c r="B4" s="168"/>
      <c r="C4" s="6"/>
      <c r="D4" s="210"/>
      <c r="E4" s="6"/>
      <c r="F4" s="6"/>
      <c r="G4" s="6"/>
      <c r="H4" s="6"/>
      <c r="I4" s="6"/>
      <c r="J4" s="6" t="str">
        <f>Information!B50</f>
        <v>Csapás u. 84.</v>
      </c>
      <c r="K4" s="6"/>
      <c r="L4" s="6"/>
      <c r="M4" s="6"/>
      <c r="N4" s="169"/>
    </row>
    <row r="5" spans="2:26" ht="15">
      <c r="B5" s="168"/>
      <c r="C5" s="6"/>
      <c r="D5" s="210"/>
      <c r="E5" s="6"/>
      <c r="F5" s="6"/>
      <c r="G5" s="6"/>
      <c r="H5" s="6"/>
      <c r="I5" s="6"/>
      <c r="J5" s="6" t="str">
        <f>Information!B51</f>
        <v>2111 Szada</v>
      </c>
      <c r="K5" s="6"/>
      <c r="L5" s="6"/>
      <c r="M5" s="6"/>
      <c r="N5" s="169"/>
    </row>
    <row r="6" spans="2:26" ht="15">
      <c r="B6" s="168"/>
      <c r="C6" s="6"/>
      <c r="D6" s="210"/>
      <c r="E6" s="6"/>
      <c r="F6" s="6"/>
      <c r="G6" s="6"/>
      <c r="H6" s="6"/>
      <c r="I6" s="6"/>
      <c r="J6" s="210" t="str">
        <f>Information!B52</f>
        <v>Hungary</v>
      </c>
      <c r="K6" s="6"/>
      <c r="L6" s="6"/>
      <c r="M6" s="6"/>
      <c r="N6" s="169"/>
    </row>
    <row r="7" spans="2:26" ht="15">
      <c r="B7" s="168"/>
      <c r="C7" s="6"/>
      <c r="D7" s="210"/>
      <c r="E7" s="6"/>
      <c r="F7" s="6"/>
      <c r="G7" s="6"/>
      <c r="H7" s="6"/>
      <c r="I7" s="6"/>
      <c r="J7" s="6" t="str">
        <f>Information!B53</f>
        <v>Tel.</v>
      </c>
      <c r="K7" s="6" t="str">
        <f>Information!C53</f>
        <v>+36 20 333 4713</v>
      </c>
      <c r="L7" s="6"/>
      <c r="M7" s="6"/>
      <c r="N7" s="169"/>
    </row>
    <row r="8" spans="2:26" ht="15">
      <c r="B8" s="168"/>
      <c r="C8" s="6"/>
      <c r="D8" s="210"/>
      <c r="E8" s="6"/>
      <c r="F8" s="6"/>
      <c r="G8" s="6"/>
      <c r="H8" s="6"/>
      <c r="I8" s="6"/>
      <c r="J8" s="6" t="str">
        <f>Information!B54</f>
        <v>Email:</v>
      </c>
      <c r="K8" s="6" t="str">
        <f>Information!C54</f>
        <v>istvanmolnar@gmail.com</v>
      </c>
      <c r="L8" s="6"/>
      <c r="M8" s="6"/>
      <c r="N8" s="169"/>
    </row>
    <row r="9" spans="2:26" ht="15">
      <c r="B9" s="168"/>
      <c r="C9" s="6"/>
      <c r="D9" s="210"/>
      <c r="E9" s="6"/>
      <c r="F9" s="6"/>
      <c r="G9" s="6"/>
      <c r="H9" s="6"/>
      <c r="I9" s="6"/>
      <c r="J9" s="6" t="str">
        <f>Information!B55</f>
        <v>Web:</v>
      </c>
      <c r="K9" s="6" t="str">
        <f>Information!C55</f>
        <v>www.istvanmolnar.com</v>
      </c>
      <c r="L9" s="6"/>
      <c r="M9" s="6"/>
      <c r="N9" s="169"/>
    </row>
    <row r="10" spans="2:26" ht="15">
      <c r="B10" s="168"/>
      <c r="C10" s="6"/>
      <c r="D10" s="210"/>
      <c r="E10" s="6"/>
      <c r="F10" s="6"/>
      <c r="G10" s="6"/>
      <c r="H10" s="6"/>
      <c r="I10" s="6"/>
      <c r="J10" s="6"/>
      <c r="K10" s="6"/>
      <c r="L10" s="6"/>
      <c r="M10" s="6"/>
      <c r="N10" s="169"/>
      <c r="R10" s="1" t="s">
        <v>361</v>
      </c>
    </row>
    <row r="11" spans="2:26" ht="15">
      <c r="B11" s="168"/>
      <c r="C11" s="6"/>
      <c r="D11" s="210"/>
      <c r="E11" s="6"/>
      <c r="F11" s="6"/>
      <c r="G11" s="6"/>
      <c r="H11" s="6"/>
      <c r="I11" s="6"/>
      <c r="J11" s="6"/>
      <c r="K11" s="6"/>
      <c r="L11" s="6"/>
      <c r="M11" s="6"/>
      <c r="N11" s="169"/>
      <c r="R11" s="613">
        <v>45076</v>
      </c>
    </row>
    <row r="12" spans="2:26" ht="15">
      <c r="B12" s="168"/>
      <c r="C12" s="6"/>
      <c r="D12" s="210"/>
      <c r="E12" s="6"/>
      <c r="F12" s="6"/>
      <c r="G12" s="6"/>
      <c r="H12" s="6"/>
      <c r="I12" s="6"/>
      <c r="J12" s="6"/>
      <c r="K12" s="6"/>
      <c r="L12" s="6"/>
      <c r="M12" s="6"/>
      <c r="N12" s="169"/>
      <c r="R12" s="5"/>
      <c r="S12" s="5"/>
      <c r="T12" s="5"/>
      <c r="U12" s="5"/>
      <c r="V12" s="5"/>
      <c r="W12" s="5"/>
      <c r="X12" s="5"/>
      <c r="Y12" s="5"/>
    </row>
    <row r="13" spans="2:26" ht="15">
      <c r="B13" s="168"/>
      <c r="C13" s="34" t="str">
        <f>Information!B3</f>
        <v>Crann Toys GmbH</v>
      </c>
      <c r="D13" s="420"/>
      <c r="E13" s="6"/>
      <c r="F13" s="6"/>
      <c r="G13" s="6"/>
      <c r="H13" s="6"/>
      <c r="I13" s="6"/>
      <c r="J13" s="6"/>
      <c r="K13" s="6"/>
      <c r="L13" s="6"/>
      <c r="M13" s="6"/>
      <c r="N13" s="169"/>
      <c r="R13" s="5"/>
      <c r="S13" s="5"/>
      <c r="T13" s="5"/>
      <c r="U13" s="5"/>
      <c r="V13" s="5"/>
      <c r="W13" s="5"/>
      <c r="X13" s="5"/>
      <c r="Y13" s="5"/>
    </row>
    <row r="14" spans="2:26" ht="15">
      <c r="B14" s="168"/>
      <c r="C14" s="34" t="str">
        <f>Information!B4</f>
        <v>Cottage St. 13</v>
      </c>
      <c r="D14" s="420"/>
      <c r="E14" s="421"/>
      <c r="F14" s="6"/>
      <c r="G14" s="6"/>
      <c r="H14" s="6"/>
      <c r="I14" s="6"/>
      <c r="J14" s="6"/>
      <c r="K14" s="6"/>
      <c r="L14" s="6"/>
      <c r="M14" s="6"/>
      <c r="N14" s="169"/>
      <c r="R14" s="5" t="s">
        <v>117</v>
      </c>
      <c r="S14" s="5"/>
      <c r="T14" s="5"/>
      <c r="U14" s="256" t="s">
        <v>249</v>
      </c>
      <c r="V14" s="301">
        <v>126</v>
      </c>
      <c r="W14" s="5"/>
      <c r="X14" s="5"/>
      <c r="Y14" s="5"/>
    </row>
    <row r="15" spans="2:26" ht="15">
      <c r="B15" s="168"/>
      <c r="C15" s="34" t="str">
        <f>Information!B5</f>
        <v>3430 Tulln</v>
      </c>
      <c r="D15" s="420"/>
      <c r="E15" s="421"/>
      <c r="F15" s="6"/>
      <c r="G15" s="6"/>
      <c r="H15" s="6"/>
      <c r="I15" s="6"/>
      <c r="J15" s="6"/>
      <c r="K15" s="6"/>
      <c r="L15" s="6"/>
      <c r="M15" s="6"/>
      <c r="N15" s="169"/>
      <c r="R15" s="5"/>
      <c r="S15" s="5"/>
      <c r="T15" s="5"/>
      <c r="U15" s="5"/>
      <c r="V15" s="5"/>
      <c r="W15" s="5"/>
      <c r="X15" s="5"/>
      <c r="Y15" s="5"/>
    </row>
    <row r="16" spans="2:26" ht="15">
      <c r="B16" s="168"/>
      <c r="C16" s="421" t="s">
        <v>15</v>
      </c>
      <c r="D16" s="421"/>
      <c r="E16" s="421"/>
      <c r="F16" s="6"/>
      <c r="G16" s="6"/>
      <c r="H16" s="6"/>
      <c r="I16" s="6"/>
      <c r="J16" s="6"/>
      <c r="K16" s="6"/>
      <c r="L16" s="6"/>
      <c r="M16" s="6"/>
      <c r="N16" s="169"/>
      <c r="R16" s="5" t="s">
        <v>25</v>
      </c>
      <c r="S16" s="6"/>
      <c r="T16" s="7">
        <v>1</v>
      </c>
      <c r="U16" s="6" t="s">
        <v>26</v>
      </c>
      <c r="V16" s="6" t="str">
        <f>K28</f>
        <v>HUF</v>
      </c>
      <c r="W16" s="318">
        <f>ROUND(Y16+(Y16*0.3%),4)</f>
        <v>365.34379999999999</v>
      </c>
      <c r="X16" s="8" t="s">
        <v>27</v>
      </c>
      <c r="Y16" s="319">
        <v>364.25099999999998</v>
      </c>
      <c r="Z16"/>
    </row>
    <row r="17" spans="2:26" ht="15">
      <c r="B17" s="168"/>
      <c r="C17" s="421"/>
      <c r="D17" s="421"/>
      <c r="E17" s="421"/>
      <c r="F17" s="6"/>
      <c r="G17" s="6"/>
      <c r="H17" s="6"/>
      <c r="I17" s="6"/>
      <c r="J17" s="422" t="s">
        <v>0</v>
      </c>
      <c r="K17" s="422"/>
      <c r="L17" s="725">
        <v>78</v>
      </c>
      <c r="M17" s="726"/>
      <c r="N17" s="169"/>
      <c r="R17" s="6"/>
      <c r="S17" s="6"/>
      <c r="T17" s="6"/>
      <c r="U17" s="6"/>
      <c r="V17" s="6"/>
      <c r="W17" s="8"/>
      <c r="X17" s="8"/>
      <c r="Y17" s="9"/>
      <c r="Z17"/>
    </row>
    <row r="18" spans="2:26" ht="15">
      <c r="B18" s="168"/>
      <c r="C18" s="210"/>
      <c r="D18" s="210"/>
      <c r="E18" s="210"/>
      <c r="F18" s="6"/>
      <c r="G18" s="6"/>
      <c r="H18" s="6"/>
      <c r="I18" s="6"/>
      <c r="J18" s="423" t="s">
        <v>1</v>
      </c>
      <c r="K18" s="423"/>
      <c r="L18" s="727">
        <f>Information!J2-64</f>
        <v>44862</v>
      </c>
      <c r="M18" s="728"/>
      <c r="N18" s="169"/>
      <c r="R18" s="10"/>
      <c r="S18" s="10"/>
      <c r="T18" s="10"/>
      <c r="U18" s="10"/>
      <c r="V18" s="10"/>
      <c r="W18" s="10"/>
      <c r="X18" s="10"/>
      <c r="Y18" s="10"/>
      <c r="Z18"/>
    </row>
    <row r="19" spans="2:26" ht="15">
      <c r="B19" s="168"/>
      <c r="C19" s="210"/>
      <c r="D19" s="210"/>
      <c r="E19" s="210"/>
      <c r="F19" s="6"/>
      <c r="G19" s="6"/>
      <c r="H19" s="6"/>
      <c r="I19" s="6"/>
      <c r="J19" s="423" t="s">
        <v>2</v>
      </c>
      <c r="K19" s="423"/>
      <c r="L19" s="727">
        <f>L18</f>
        <v>44862</v>
      </c>
      <c r="M19" s="728"/>
      <c r="N19" s="169"/>
      <c r="R19" s="6" t="s">
        <v>32</v>
      </c>
      <c r="S19" s="6"/>
      <c r="T19" s="6"/>
      <c r="U19" s="6" t="str">
        <f>Information!B3</f>
        <v>Crann Toys GmbH</v>
      </c>
      <c r="V19" s="6"/>
      <c r="W19" s="9"/>
      <c r="X19" s="9"/>
      <c r="Y19" s="10"/>
      <c r="Z19"/>
    </row>
    <row r="20" spans="2:26" ht="15.6">
      <c r="B20" s="168"/>
      <c r="C20" s="210"/>
      <c r="D20" s="210"/>
      <c r="E20" s="210"/>
      <c r="F20" s="6"/>
      <c r="G20" s="6"/>
      <c r="H20" s="6"/>
      <c r="I20" s="6"/>
      <c r="J20" s="423" t="s">
        <v>11</v>
      </c>
      <c r="K20" s="423"/>
      <c r="L20" s="727">
        <f>L19+1</f>
        <v>44863</v>
      </c>
      <c r="M20" s="728"/>
      <c r="N20" s="169"/>
      <c r="R20" s="11"/>
      <c r="S20" s="11"/>
      <c r="T20" s="11"/>
      <c r="U20" s="11"/>
      <c r="V20" s="11"/>
      <c r="W20" s="11"/>
      <c r="X20" s="11"/>
      <c r="Y20" s="11"/>
      <c r="Z20"/>
    </row>
    <row r="21" spans="2:26" ht="15">
      <c r="B21" s="168"/>
      <c r="C21" s="210"/>
      <c r="D21" s="210"/>
      <c r="E21" s="210"/>
      <c r="F21" s="6"/>
      <c r="G21" s="6"/>
      <c r="H21" s="6"/>
      <c r="I21" s="6"/>
      <c r="J21" s="423" t="s">
        <v>3</v>
      </c>
      <c r="K21" s="6"/>
      <c r="L21" s="729">
        <v>20288</v>
      </c>
      <c r="M21" s="730"/>
      <c r="N21" s="169"/>
      <c r="R21" s="6" t="s">
        <v>31</v>
      </c>
      <c r="S21" s="6"/>
      <c r="T21" s="6"/>
      <c r="U21" s="6"/>
      <c r="V21" s="6"/>
      <c r="W21" s="9"/>
      <c r="X21" s="9"/>
      <c r="Y21" s="12">
        <f>Information!J2-1</f>
        <v>44925</v>
      </c>
      <c r="Z21"/>
    </row>
    <row r="22" spans="2:26" ht="15">
      <c r="B22" s="168"/>
      <c r="C22" s="210"/>
      <c r="D22" s="210"/>
      <c r="E22" s="210"/>
      <c r="F22" s="6"/>
      <c r="G22" s="6"/>
      <c r="H22" s="6"/>
      <c r="I22" s="6"/>
      <c r="J22" s="424" t="s">
        <v>360</v>
      </c>
      <c r="K22" s="611"/>
      <c r="L22" s="558"/>
      <c r="M22" s="612" t="str">
        <f>Information!E10</f>
        <v>ATU 67281579</v>
      </c>
      <c r="N22" s="169"/>
      <c r="P22" s="702" t="s">
        <v>382</v>
      </c>
      <c r="R22" s="6"/>
      <c r="S22" s="6"/>
      <c r="T22" s="6"/>
      <c r="U22" s="6"/>
      <c r="V22" s="6"/>
      <c r="W22" s="9"/>
      <c r="X22" s="9"/>
      <c r="Y22" s="12"/>
      <c r="Z22"/>
    </row>
    <row r="23" spans="2:26" ht="15">
      <c r="B23" s="168"/>
      <c r="C23" s="210"/>
      <c r="D23" s="210"/>
      <c r="E23" s="210"/>
      <c r="F23" s="6"/>
      <c r="G23" s="6"/>
      <c r="H23" s="6"/>
      <c r="I23" s="6"/>
      <c r="J23" s="6"/>
      <c r="K23" s="34"/>
      <c r="L23" s="731"/>
      <c r="M23" s="731"/>
      <c r="N23" s="169"/>
      <c r="R23" s="6" t="s">
        <v>28</v>
      </c>
      <c r="S23" s="10"/>
      <c r="T23" s="10"/>
      <c r="U23" s="10"/>
      <c r="V23" s="9" t="s">
        <v>33</v>
      </c>
      <c r="W23" s="165">
        <f>'Bank Statement-noInfo'!K5</f>
        <v>3</v>
      </c>
      <c r="X23" s="10"/>
      <c r="Y23" s="10"/>
      <c r="Z23"/>
    </row>
    <row r="24" spans="2:26" ht="15">
      <c r="B24" s="168"/>
      <c r="C24" s="6"/>
      <c r="D24" s="210"/>
      <c r="E24" s="6"/>
      <c r="F24" s="6"/>
      <c r="G24" s="6"/>
      <c r="H24" s="723"/>
      <c r="I24" s="723"/>
      <c r="J24" s="421"/>
      <c r="K24" s="6" t="s">
        <v>5</v>
      </c>
      <c r="L24" s="425" t="s">
        <v>284</v>
      </c>
      <c r="M24" s="6"/>
      <c r="N24" s="169"/>
      <c r="R24" s="10"/>
      <c r="S24" s="10"/>
      <c r="T24" s="7">
        <v>1</v>
      </c>
      <c r="U24" s="6" t="s">
        <v>26</v>
      </c>
      <c r="V24" s="6" t="str">
        <f>K28</f>
        <v>HUF</v>
      </c>
      <c r="W24" s="318">
        <f>ROUND(Y16-(Y16*0.04%),4)</f>
        <v>364.1053</v>
      </c>
      <c r="X24" s="8"/>
      <c r="Y24" s="13"/>
      <c r="Z24"/>
    </row>
    <row r="25" spans="2:26" ht="15">
      <c r="B25" s="168"/>
      <c r="C25" s="6"/>
      <c r="D25" s="210"/>
      <c r="E25" s="6"/>
      <c r="F25" s="6"/>
      <c r="G25" s="6"/>
      <c r="H25" s="6"/>
      <c r="I25" s="6"/>
      <c r="J25" s="6"/>
      <c r="K25" s="6" t="s">
        <v>4</v>
      </c>
      <c r="L25" s="425" t="s">
        <v>285</v>
      </c>
      <c r="M25" s="6"/>
      <c r="N25" s="169"/>
      <c r="R25"/>
      <c r="S25"/>
      <c r="T25"/>
      <c r="U25"/>
      <c r="V25"/>
      <c r="W25"/>
      <c r="X25"/>
      <c r="Y25"/>
      <c r="Z25"/>
    </row>
    <row r="26" spans="2:26" ht="15">
      <c r="B26" s="168"/>
      <c r="C26" s="6"/>
      <c r="D26" s="210"/>
      <c r="E26" s="6"/>
      <c r="F26" s="6"/>
      <c r="G26" s="6"/>
      <c r="H26" s="6"/>
      <c r="I26" s="6"/>
      <c r="J26" s="6"/>
      <c r="K26" s="6"/>
      <c r="L26" s="6"/>
      <c r="M26" s="6"/>
      <c r="N26" s="169"/>
      <c r="R26" s="6" t="s">
        <v>29</v>
      </c>
      <c r="S26" s="6"/>
      <c r="T26" s="6"/>
      <c r="U26" s="6" t="s">
        <v>30</v>
      </c>
      <c r="V26" s="189">
        <v>5.8</v>
      </c>
      <c r="W26" s="6"/>
      <c r="X26" s="6"/>
      <c r="Y26" s="14"/>
      <c r="Z26"/>
    </row>
    <row r="27" spans="2:26" ht="15.6">
      <c r="B27" s="168"/>
      <c r="C27" s="426"/>
      <c r="D27" s="427" t="s">
        <v>7</v>
      </c>
      <c r="E27" s="426" t="s">
        <v>6</v>
      </c>
      <c r="F27" s="426"/>
      <c r="G27" s="426"/>
      <c r="H27" s="426" t="s">
        <v>14</v>
      </c>
      <c r="I27" s="426"/>
      <c r="J27" s="426"/>
      <c r="K27" s="428" t="s">
        <v>12</v>
      </c>
      <c r="L27" s="429" t="s">
        <v>13</v>
      </c>
      <c r="M27" s="426"/>
      <c r="N27" s="169"/>
    </row>
    <row r="28" spans="2:26" ht="15.6">
      <c r="B28" s="168"/>
      <c r="C28" s="426"/>
      <c r="D28" s="427"/>
      <c r="E28" s="426"/>
      <c r="F28" s="426"/>
      <c r="G28" s="426"/>
      <c r="H28" s="426"/>
      <c r="I28" s="426"/>
      <c r="J28" s="426"/>
      <c r="K28" s="428" t="s">
        <v>286</v>
      </c>
      <c r="L28" s="429"/>
      <c r="M28" s="426"/>
      <c r="N28" s="169"/>
    </row>
    <row r="29" spans="2:26" ht="15">
      <c r="B29" s="168"/>
      <c r="C29" s="6"/>
      <c r="D29" s="210"/>
      <c r="E29" s="6"/>
      <c r="F29" s="6"/>
      <c r="G29" s="6"/>
      <c r="H29" s="6"/>
      <c r="I29" s="6"/>
      <c r="J29" s="6"/>
      <c r="K29" s="136"/>
      <c r="L29" s="136"/>
      <c r="M29" s="6"/>
      <c r="N29" s="169"/>
      <c r="R29" s="6"/>
      <c r="S29" s="6"/>
      <c r="T29" s="6"/>
    </row>
    <row r="30" spans="2:26" ht="15">
      <c r="B30" s="168"/>
      <c r="C30" s="425"/>
      <c r="D30" s="421">
        <v>48819</v>
      </c>
      <c r="E30" s="425" t="s">
        <v>295</v>
      </c>
      <c r="F30" s="425"/>
      <c r="G30" s="425"/>
      <c r="H30" s="430">
        <v>3000</v>
      </c>
      <c r="I30" s="425"/>
      <c r="J30" s="425"/>
      <c r="K30" s="431">
        <v>12000</v>
      </c>
      <c r="L30" s="136">
        <f t="shared" ref="L30:L39" si="0">IF(H30&gt;0,H30*K30," ")</f>
        <v>36000000</v>
      </c>
      <c r="M30" s="425"/>
      <c r="N30" s="169"/>
      <c r="R30" s="6"/>
      <c r="S30" s="136"/>
      <c r="T30" s="6"/>
      <c r="U30" s="6"/>
    </row>
    <row r="31" spans="2:26" ht="15">
      <c r="B31" s="168"/>
      <c r="C31" s="425"/>
      <c r="D31" s="421"/>
      <c r="E31" s="425"/>
      <c r="F31" s="425"/>
      <c r="G31" s="425"/>
      <c r="H31" s="431"/>
      <c r="I31" s="425"/>
      <c r="J31" s="425"/>
      <c r="K31" s="431"/>
      <c r="L31" s="136" t="str">
        <f t="shared" si="0"/>
        <v xml:space="preserve"> </v>
      </c>
      <c r="M31" s="425"/>
      <c r="N31" s="169"/>
      <c r="R31" s="6"/>
      <c r="S31" s="6"/>
      <c r="T31" s="6"/>
    </row>
    <row r="32" spans="2:26" ht="15">
      <c r="B32" s="168"/>
      <c r="C32" s="425"/>
      <c r="D32" s="421"/>
      <c r="E32" s="425"/>
      <c r="F32" s="425"/>
      <c r="G32" s="425"/>
      <c r="H32" s="431"/>
      <c r="I32" s="425"/>
      <c r="J32" s="425"/>
      <c r="K32" s="431"/>
      <c r="L32" s="136" t="str">
        <f t="shared" si="0"/>
        <v xml:space="preserve"> </v>
      </c>
      <c r="M32" s="425"/>
      <c r="N32" s="169"/>
      <c r="R32" s="6"/>
      <c r="S32" s="136"/>
      <c r="T32" s="6"/>
      <c r="U32" s="6"/>
    </row>
    <row r="33" spans="2:23" ht="15">
      <c r="B33" s="168"/>
      <c r="C33" s="425"/>
      <c r="D33" s="421">
        <v>217188</v>
      </c>
      <c r="E33" s="34" t="s">
        <v>384</v>
      </c>
      <c r="F33" s="425"/>
      <c r="G33" s="425"/>
      <c r="H33" s="430">
        <v>50</v>
      </c>
      <c r="I33" s="425"/>
      <c r="J33" s="425"/>
      <c r="K33" s="431">
        <v>138500</v>
      </c>
      <c r="L33" s="136">
        <f t="shared" si="0"/>
        <v>6925000</v>
      </c>
      <c r="M33" s="425"/>
      <c r="N33" s="169"/>
      <c r="P33" s="702" t="s">
        <v>383</v>
      </c>
    </row>
    <row r="34" spans="2:23" ht="15">
      <c r="B34" s="168"/>
      <c r="C34" s="425"/>
      <c r="D34" s="421"/>
      <c r="E34" s="425"/>
      <c r="F34" s="425"/>
      <c r="G34" s="425"/>
      <c r="H34" s="431"/>
      <c r="I34" s="425"/>
      <c r="J34" s="425"/>
      <c r="K34" s="431"/>
      <c r="L34" s="136"/>
      <c r="M34" s="425"/>
      <c r="N34" s="169"/>
    </row>
    <row r="35" spans="2:23" ht="15">
      <c r="B35" s="168"/>
      <c r="C35" s="425"/>
      <c r="D35" s="421"/>
      <c r="E35" s="34"/>
      <c r="F35" s="425"/>
      <c r="G35" s="425"/>
      <c r="H35" s="431"/>
      <c r="I35" s="425"/>
      <c r="J35" s="425"/>
      <c r="K35" s="431"/>
      <c r="L35" s="136"/>
      <c r="M35" s="425"/>
      <c r="N35" s="169"/>
    </row>
    <row r="36" spans="2:23" ht="15">
      <c r="B36" s="168"/>
      <c r="C36" s="425"/>
      <c r="D36" s="421"/>
      <c r="E36" s="425"/>
      <c r="F36" s="425"/>
      <c r="G36" s="425"/>
      <c r="H36" s="431"/>
      <c r="I36" s="425"/>
      <c r="J36" s="425"/>
      <c r="K36" s="431"/>
      <c r="L36" s="136"/>
      <c r="M36" s="425"/>
      <c r="N36" s="169"/>
    </row>
    <row r="37" spans="2:23" ht="15">
      <c r="B37" s="168"/>
      <c r="C37" s="425"/>
      <c r="D37" s="421"/>
      <c r="E37" s="425"/>
      <c r="F37" s="425"/>
      <c r="G37" s="425"/>
      <c r="H37" s="431"/>
      <c r="I37" s="425"/>
      <c r="J37" s="425"/>
      <c r="K37" s="431"/>
      <c r="L37" s="136" t="str">
        <f t="shared" si="0"/>
        <v xml:space="preserve"> </v>
      </c>
      <c r="M37" s="425"/>
      <c r="N37" s="169"/>
      <c r="R37" s="6"/>
      <c r="S37" s="6"/>
      <c r="T37" s="6"/>
      <c r="U37" s="6"/>
      <c r="V37" s="6"/>
      <c r="W37" s="6"/>
    </row>
    <row r="38" spans="2:23" ht="15">
      <c r="B38" s="168"/>
      <c r="C38" s="425"/>
      <c r="D38" s="421"/>
      <c r="E38" s="425"/>
      <c r="F38" s="425"/>
      <c r="G38" s="425"/>
      <c r="H38" s="431"/>
      <c r="I38" s="425"/>
      <c r="J38" s="425"/>
      <c r="K38" s="431"/>
      <c r="L38" s="136" t="str">
        <f t="shared" si="0"/>
        <v xml:space="preserve"> </v>
      </c>
      <c r="M38" s="425"/>
      <c r="N38" s="169"/>
      <c r="R38" s="6"/>
      <c r="S38" s="6"/>
      <c r="T38" s="6"/>
      <c r="U38" s="6"/>
      <c r="V38" s="6"/>
      <c r="W38" s="6"/>
    </row>
    <row r="39" spans="2:23" ht="15">
      <c r="B39" s="168"/>
      <c r="C39" s="425"/>
      <c r="D39" s="421"/>
      <c r="E39" s="425"/>
      <c r="F39" s="425"/>
      <c r="G39" s="425"/>
      <c r="H39" s="431"/>
      <c r="I39" s="425"/>
      <c r="J39" s="425"/>
      <c r="K39" s="431"/>
      <c r="L39" s="136" t="str">
        <f t="shared" si="0"/>
        <v xml:space="preserve"> </v>
      </c>
      <c r="M39" s="425"/>
      <c r="N39" s="169"/>
      <c r="R39" s="187"/>
      <c r="S39" s="6"/>
      <c r="T39" s="6"/>
      <c r="U39" s="6"/>
      <c r="V39" s="6"/>
      <c r="W39" s="6"/>
    </row>
    <row r="40" spans="2:23" ht="15.6">
      <c r="B40" s="168"/>
      <c r="C40" s="209"/>
      <c r="D40" s="432"/>
      <c r="E40" s="426" t="s">
        <v>10</v>
      </c>
      <c r="F40" s="209"/>
      <c r="G40" s="209"/>
      <c r="H40" s="209"/>
      <c r="I40" s="209"/>
      <c r="J40" s="209"/>
      <c r="K40" s="428" t="str">
        <f>K28</f>
        <v>HUF</v>
      </c>
      <c r="L40" s="136">
        <f>SUM(L30:L39)</f>
        <v>42925000</v>
      </c>
      <c r="M40" s="6"/>
      <c r="N40" s="169"/>
      <c r="R40" s="188"/>
      <c r="S40" s="6"/>
      <c r="T40" s="6"/>
      <c r="U40" s="6"/>
      <c r="V40" s="6"/>
      <c r="W40" s="6"/>
    </row>
    <row r="41" spans="2:23" ht="15">
      <c r="B41" s="168"/>
      <c r="C41" s="6"/>
      <c r="D41" s="210"/>
      <c r="E41" s="6"/>
      <c r="F41" s="6"/>
      <c r="G41" s="6"/>
      <c r="H41" s="6"/>
      <c r="I41" s="6"/>
      <c r="J41" s="6"/>
      <c r="K41" s="433"/>
      <c r="L41" s="136"/>
      <c r="M41" s="6"/>
      <c r="N41" s="169"/>
      <c r="R41" s="188"/>
      <c r="S41" s="6"/>
      <c r="T41" s="6"/>
      <c r="U41" s="6"/>
      <c r="V41" s="6"/>
      <c r="W41" s="6"/>
    </row>
    <row r="42" spans="2:23" ht="15">
      <c r="B42" s="168"/>
      <c r="C42" s="6"/>
      <c r="D42" s="210"/>
      <c r="E42" s="136" t="s">
        <v>16</v>
      </c>
      <c r="F42" s="6"/>
      <c r="G42" s="6"/>
      <c r="H42" s="6"/>
      <c r="I42" s="6"/>
      <c r="J42" s="6"/>
      <c r="K42" s="433"/>
      <c r="L42" s="433">
        <v>0</v>
      </c>
      <c r="M42" s="6"/>
      <c r="N42" s="169"/>
    </row>
    <row r="43" spans="2:23" ht="15">
      <c r="B43" s="168"/>
      <c r="C43" s="6"/>
      <c r="D43" s="210"/>
      <c r="E43" s="6"/>
      <c r="F43" s="6"/>
      <c r="G43" s="6"/>
      <c r="H43" s="6"/>
      <c r="I43" s="6"/>
      <c r="J43" s="6"/>
      <c r="K43" s="433"/>
      <c r="L43" s="136"/>
      <c r="M43" s="6"/>
      <c r="N43" s="169"/>
    </row>
    <row r="44" spans="2:23" ht="15.6">
      <c r="B44" s="168"/>
      <c r="C44" s="209"/>
      <c r="D44" s="432"/>
      <c r="E44" s="426" t="s">
        <v>9</v>
      </c>
      <c r="F44" s="209"/>
      <c r="G44" s="209"/>
      <c r="H44" s="209"/>
      <c r="I44" s="209"/>
      <c r="J44" s="209"/>
      <c r="K44" s="428" t="str">
        <f>K28</f>
        <v>HUF</v>
      </c>
      <c r="L44" s="136">
        <f>SUM(L40:L43)</f>
        <v>42925000</v>
      </c>
      <c r="M44" s="6"/>
      <c r="N44" s="169"/>
    </row>
    <row r="45" spans="2:23" ht="13.2">
      <c r="B45" s="168"/>
      <c r="C45" s="2"/>
      <c r="D45" s="268"/>
      <c r="E45" s="2"/>
      <c r="F45" s="2"/>
      <c r="G45" s="2"/>
      <c r="H45" s="2"/>
      <c r="L45" s="172"/>
      <c r="N45" s="169"/>
    </row>
    <row r="46" spans="2:23" ht="13.2">
      <c r="B46" s="168"/>
      <c r="C46" s="724" t="s">
        <v>8</v>
      </c>
      <c r="D46" s="724"/>
      <c r="E46" s="724"/>
      <c r="F46" s="724"/>
      <c r="G46" s="170"/>
      <c r="H46" s="2"/>
      <c r="L46" s="172"/>
      <c r="N46" s="169"/>
    </row>
    <row r="47" spans="2:23" ht="13.2">
      <c r="B47" s="168"/>
      <c r="C47" s="416">
        <v>0.03</v>
      </c>
      <c r="D47" s="268" t="s">
        <v>142</v>
      </c>
      <c r="E47" s="2" t="s">
        <v>143</v>
      </c>
      <c r="F47" s="2"/>
      <c r="G47" s="2"/>
      <c r="H47" s="2"/>
      <c r="L47" s="172"/>
      <c r="N47" s="169"/>
    </row>
    <row r="48" spans="2:23" ht="13.2">
      <c r="B48" s="168"/>
      <c r="C48" s="417">
        <v>10</v>
      </c>
      <c r="D48" s="268" t="s">
        <v>144</v>
      </c>
      <c r="E48" s="2"/>
      <c r="F48" s="2"/>
      <c r="G48" s="2"/>
      <c r="H48" s="2"/>
      <c r="L48" s="172"/>
      <c r="N48" s="169"/>
    </row>
    <row r="49" spans="2:14" ht="13.2">
      <c r="B49" s="168"/>
      <c r="C49" s="416" t="s">
        <v>257</v>
      </c>
      <c r="D49" s="268"/>
      <c r="E49" s="2" t="s">
        <v>291</v>
      </c>
      <c r="F49" s="2"/>
      <c r="G49" s="2"/>
      <c r="H49" s="2"/>
      <c r="L49" s="172"/>
      <c r="N49" s="169"/>
    </row>
    <row r="50" spans="2:14" ht="13.2">
      <c r="B50" s="168"/>
      <c r="C50" s="724"/>
      <c r="D50" s="724"/>
      <c r="E50" s="2" t="str">
        <f>'Transport CostsPur'!D22</f>
        <v>Vienna, Austria</v>
      </c>
      <c r="F50" s="2"/>
      <c r="G50" s="2"/>
      <c r="H50" s="2"/>
      <c r="L50" s="172"/>
      <c r="N50" s="169"/>
    </row>
    <row r="51" spans="2:14" ht="13.2">
      <c r="B51" s="168"/>
      <c r="C51" s="724"/>
      <c r="D51" s="724"/>
      <c r="E51" s="2"/>
      <c r="F51" s="2"/>
      <c r="G51" s="2"/>
      <c r="H51" s="2"/>
      <c r="L51" s="172"/>
      <c r="N51" s="169"/>
    </row>
    <row r="52" spans="2:14" ht="13.2">
      <c r="B52" s="168"/>
      <c r="C52" s="2"/>
      <c r="D52" s="268"/>
      <c r="E52" s="2"/>
      <c r="F52" s="2"/>
      <c r="G52" s="2"/>
      <c r="H52" s="2"/>
      <c r="N52" s="169"/>
    </row>
    <row r="53" spans="2:14" ht="13.2">
      <c r="B53" s="168"/>
      <c r="C53" s="2" t="s">
        <v>115</v>
      </c>
      <c r="D53" s="268"/>
      <c r="E53" s="2" t="s">
        <v>292</v>
      </c>
      <c r="F53" s="2" t="str">
        <f>Information!B56</f>
        <v>VAT No.</v>
      </c>
      <c r="G53" s="2" t="str">
        <f>Information!C56</f>
        <v>HU 14066113</v>
      </c>
      <c r="H53" s="2"/>
      <c r="N53" s="169"/>
    </row>
    <row r="54" spans="2:14" ht="13.2">
      <c r="B54" s="168"/>
      <c r="C54" s="2" t="s">
        <v>116</v>
      </c>
      <c r="D54" s="268" t="str">
        <f>Information!C60</f>
        <v>UniCredit Bank</v>
      </c>
      <c r="E54" s="2" t="str">
        <f>Information!D60</f>
        <v>Hungary</v>
      </c>
      <c r="F54" s="2"/>
      <c r="G54" s="2"/>
      <c r="H54" s="2"/>
      <c r="N54" s="169"/>
    </row>
    <row r="55" spans="2:14" ht="13.2">
      <c r="B55" s="168"/>
      <c r="C55" s="2" t="s">
        <v>20</v>
      </c>
      <c r="D55" s="268" t="str">
        <f>Information!C61</f>
        <v xml:space="preserve">HU42 1093 0000 1690 0014 2347 </v>
      </c>
      <c r="E55" s="173"/>
      <c r="F55" s="2" t="s">
        <v>21</v>
      </c>
      <c r="G55" s="2" t="str">
        <f>Information!C62</f>
        <v>BACX CZ PP</v>
      </c>
      <c r="H55" s="2"/>
      <c r="N55" s="169"/>
    </row>
    <row r="56" spans="2:14" ht="14.25" customHeight="1" thickBot="1">
      <c r="B56" s="174"/>
      <c r="C56" s="175"/>
      <c r="D56" s="270"/>
      <c r="E56" s="176"/>
      <c r="F56" s="176"/>
      <c r="G56" s="176"/>
      <c r="H56" s="177"/>
      <c r="I56" s="177"/>
      <c r="J56" s="177"/>
      <c r="K56" s="177"/>
      <c r="L56" s="175"/>
      <c r="M56" s="175"/>
      <c r="N56" s="178"/>
    </row>
    <row r="59" spans="2:14" ht="15.9" customHeight="1">
      <c r="D59" s="589" t="s">
        <v>375</v>
      </c>
      <c r="E59" s="565" t="s">
        <v>376</v>
      </c>
      <c r="F59" s="565" t="s">
        <v>377</v>
      </c>
    </row>
    <row r="60" spans="2:14" ht="15.9" customHeight="1">
      <c r="D60" s="589"/>
      <c r="E60" s="565" t="s">
        <v>378</v>
      </c>
      <c r="F60" s="565" t="s">
        <v>379</v>
      </c>
    </row>
    <row r="61" spans="2:14" ht="15.9" customHeight="1">
      <c r="D61" s="589"/>
      <c r="E61" s="565" t="s">
        <v>380</v>
      </c>
      <c r="F61" s="565" t="s">
        <v>381</v>
      </c>
    </row>
    <row r="62" spans="2:14" ht="15.9" customHeight="1">
      <c r="D62" s="589"/>
      <c r="E62" s="565"/>
      <c r="F62" s="565"/>
    </row>
    <row r="63" spans="2:14" ht="15.9" customHeight="1">
      <c r="E63" s="135" t="s">
        <v>251</v>
      </c>
    </row>
    <row r="64" spans="2:14" ht="15.9" customHeight="1">
      <c r="E64" s="135" t="s">
        <v>337</v>
      </c>
      <c r="F64" s="365">
        <v>45074</v>
      </c>
    </row>
    <row r="65" spans="5:5" ht="15.9" customHeight="1">
      <c r="E65" s="135"/>
    </row>
    <row r="66" spans="5:5" ht="15.9" customHeight="1">
      <c r="E66" s="305"/>
    </row>
    <row r="67" spans="5:5" ht="15.9" customHeight="1"/>
    <row r="68" spans="5:5" ht="15.9" customHeight="1"/>
    <row r="69" spans="5:5" ht="15.9" customHeight="1"/>
    <row r="70" spans="5:5" ht="15.9" customHeight="1"/>
    <row r="71" spans="5:5" ht="15.9" customHeight="1"/>
  </sheetData>
  <mergeCells count="10">
    <mergeCell ref="C51:D51"/>
    <mergeCell ref="L17:M17"/>
    <mergeCell ref="L19:M19"/>
    <mergeCell ref="L21:M21"/>
    <mergeCell ref="L23:M23"/>
    <mergeCell ref="L18:M18"/>
    <mergeCell ref="H24:I24"/>
    <mergeCell ref="C50:D50"/>
    <mergeCell ref="C46:F46"/>
    <mergeCell ref="L20:M20"/>
  </mergeCells>
  <phoneticPr fontId="0" type="noConversion"/>
  <pageMargins left="0.56999999999999995" right="0.21" top="0.36" bottom="0.59" header="0.4921259845" footer="0.4921259845"/>
  <pageSetup paperSize="9" scale="87"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E7E65-B906-4916-874C-6550D4F99855}">
  <dimension ref="B1:AK41"/>
  <sheetViews>
    <sheetView showGridLines="0" topLeftCell="A10" zoomScaleNormal="100" workbookViewId="0">
      <selection activeCell="B2" sqref="B2:M41"/>
    </sheetView>
  </sheetViews>
  <sheetFormatPr defaultColWidth="11.33203125" defaultRowHeight="13.2"/>
  <cols>
    <col min="1" max="2" width="1.44140625" customWidth="1"/>
    <col min="3" max="3" width="7" customWidth="1"/>
    <col min="4" max="4" width="7.33203125" customWidth="1"/>
    <col min="5" max="6" width="7" customWidth="1"/>
    <col min="7" max="7" width="8.6640625" customWidth="1"/>
    <col min="8" max="8" width="9" customWidth="1"/>
    <col min="9" max="9" width="11.88671875" customWidth="1"/>
    <col min="10" max="10" width="5.109375" customWidth="1"/>
    <col min="11" max="11" width="12.109375" customWidth="1"/>
    <col min="12" max="12" width="12.33203125" customWidth="1"/>
    <col min="13" max="13" width="1.5546875" customWidth="1"/>
    <col min="14" max="14" width="4.6640625" customWidth="1"/>
    <col min="15" max="15" width="4.44140625" customWidth="1"/>
    <col min="16" max="16" width="10.44140625" customWidth="1"/>
    <col min="17" max="17" width="7.109375" customWidth="1"/>
    <col min="18" max="18" width="4.6640625" customWidth="1"/>
    <col min="19" max="19" width="2.88671875" customWidth="1"/>
    <col min="20" max="20" width="11.88671875" customWidth="1"/>
    <col min="21" max="21" width="13.88671875" customWidth="1"/>
    <col min="22" max="22" width="7.5546875" customWidth="1"/>
    <col min="23" max="23" width="15" customWidth="1"/>
    <col min="24" max="24" width="5" customWidth="1"/>
    <col min="25" max="25" width="8" customWidth="1"/>
    <col min="26" max="26" width="17.5546875" customWidth="1"/>
    <col min="27" max="27" width="8" customWidth="1"/>
    <col min="28" max="28" width="17.5546875" customWidth="1"/>
  </cols>
  <sheetData>
    <row r="1" spans="2:37" ht="13.8" thickBot="1"/>
    <row r="2" spans="2:37">
      <c r="B2" s="197"/>
      <c r="C2" s="198"/>
      <c r="D2" s="198"/>
      <c r="E2" s="198"/>
      <c r="F2" s="198"/>
      <c r="G2" s="199"/>
      <c r="H2" s="199"/>
      <c r="I2" s="199"/>
      <c r="J2" s="199"/>
      <c r="K2" s="198"/>
      <c r="L2" s="198"/>
      <c r="M2" s="200"/>
    </row>
    <row r="3" spans="2:37" ht="16.2" thickBot="1">
      <c r="B3" s="201"/>
      <c r="C3" s="10"/>
      <c r="D3" s="329"/>
      <c r="E3" s="329"/>
      <c r="F3" s="10"/>
      <c r="G3" s="330"/>
      <c r="H3" s="330"/>
      <c r="I3" s="330"/>
      <c r="J3" s="330"/>
      <c r="K3" s="10"/>
      <c r="L3" s="10"/>
      <c r="M3" s="202"/>
      <c r="P3" s="3" t="s">
        <v>362</v>
      </c>
      <c r="R3" s="409" t="s">
        <v>363</v>
      </c>
    </row>
    <row r="4" spans="2:37" ht="49.2" thickBot="1">
      <c r="B4" s="201"/>
      <c r="C4" s="366" t="str">
        <f>Information!B3</f>
        <v>Crann Toys GmbH</v>
      </c>
      <c r="D4" s="367"/>
      <c r="E4" s="367"/>
      <c r="F4" s="367"/>
      <c r="G4" s="368"/>
      <c r="H4" s="369"/>
      <c r="I4" s="369"/>
      <c r="J4" s="605"/>
      <c r="K4" s="604"/>
      <c r="L4" s="10"/>
      <c r="M4" s="202"/>
    </row>
    <row r="5" spans="2:37" ht="15.6">
      <c r="B5" s="201"/>
      <c r="C5" s="376" t="str">
        <f>Information!B5</f>
        <v>3430 Tulln</v>
      </c>
      <c r="D5" s="376"/>
      <c r="E5" s="376" t="str">
        <f>Information!B4</f>
        <v>Cottage St. 13</v>
      </c>
      <c r="F5" s="376"/>
      <c r="G5" s="376"/>
      <c r="H5" s="376" t="str">
        <f>Information!B6</f>
        <v>Austria</v>
      </c>
      <c r="I5" s="377"/>
      <c r="J5" s="377"/>
      <c r="K5" s="378"/>
      <c r="L5" s="378"/>
      <c r="M5" s="202"/>
      <c r="P5" s="209" t="s">
        <v>183</v>
      </c>
      <c r="Q5" s="6"/>
      <c r="R5" s="6"/>
      <c r="S5" s="6"/>
      <c r="T5" s="6"/>
      <c r="U5" s="9"/>
      <c r="V5" s="9"/>
      <c r="W5" s="9"/>
      <c r="X5" s="6"/>
      <c r="Y5" s="6"/>
      <c r="Z5" s="6"/>
      <c r="AA5" s="10"/>
      <c r="AB5" s="10"/>
      <c r="AC5" s="10"/>
      <c r="AD5" s="10"/>
      <c r="AE5" s="10"/>
      <c r="AF5" s="10"/>
      <c r="AG5" s="10"/>
      <c r="AH5" s="10"/>
      <c r="AI5" s="10"/>
      <c r="AJ5" s="10"/>
      <c r="AK5" s="10"/>
    </row>
    <row r="6" spans="2:37" ht="16.2">
      <c r="B6" s="331"/>
      <c r="C6" s="376" t="str">
        <f>Information!B9</f>
        <v>Tel:</v>
      </c>
      <c r="D6" s="376" t="str">
        <f>Information!C9</f>
        <v>0043-2272-53626</v>
      </c>
      <c r="E6" s="376"/>
      <c r="F6" s="376"/>
      <c r="G6" s="376" t="str">
        <f>Information!B10</f>
        <v>Email:</v>
      </c>
      <c r="H6" s="376" t="str">
        <f>Information!C10</f>
        <v>cranntoys@aon.at</v>
      </c>
      <c r="I6" s="376"/>
      <c r="J6" s="377" t="str">
        <f>Information!B11</f>
        <v>Web:</v>
      </c>
      <c r="K6" s="376" t="str">
        <f>Information!C11</f>
        <v>www.cranntoys.at</v>
      </c>
      <c r="L6" s="376"/>
      <c r="M6" s="202"/>
      <c r="P6" s="6"/>
      <c r="Q6" s="6"/>
      <c r="R6" s="6"/>
      <c r="S6" s="6"/>
      <c r="T6" s="6"/>
      <c r="U6" s="9"/>
      <c r="V6" s="9"/>
      <c r="W6" s="9"/>
      <c r="X6" s="6"/>
      <c r="Y6" s="135"/>
      <c r="Z6" s="135"/>
      <c r="AA6" s="195"/>
      <c r="AB6" s="195"/>
      <c r="AC6" s="195"/>
      <c r="AD6" s="195"/>
      <c r="AE6" s="10"/>
      <c r="AF6" s="10"/>
      <c r="AG6" s="10"/>
      <c r="AH6" s="10"/>
      <c r="AI6" s="10"/>
      <c r="AJ6" s="10"/>
      <c r="AK6" s="10"/>
    </row>
    <row r="7" spans="2:37" ht="15.6">
      <c r="B7" s="201"/>
      <c r="C7" s="10"/>
      <c r="D7" s="10"/>
      <c r="E7" s="10"/>
      <c r="F7" s="10"/>
      <c r="G7" s="330"/>
      <c r="H7" s="332"/>
      <c r="I7" s="332"/>
      <c r="J7" s="332"/>
      <c r="K7" s="332"/>
      <c r="L7" s="332"/>
      <c r="M7" s="202"/>
      <c r="P7" s="722" t="s">
        <v>117</v>
      </c>
      <c r="Q7" s="722"/>
      <c r="R7" s="722"/>
      <c r="S7" s="722"/>
      <c r="T7" s="722"/>
      <c r="U7" s="9"/>
      <c r="V7" s="255" t="s">
        <v>248</v>
      </c>
      <c r="W7" s="300">
        <v>29</v>
      </c>
      <c r="X7" s="6"/>
      <c r="Y7" s="734"/>
      <c r="Z7" s="734"/>
      <c r="AA7" s="734"/>
      <c r="AB7" s="734"/>
      <c r="AC7" s="135"/>
      <c r="AD7" s="135"/>
      <c r="AE7" s="10"/>
      <c r="AF7" s="10"/>
      <c r="AG7" s="10"/>
      <c r="AH7" s="10"/>
      <c r="AI7" s="10"/>
      <c r="AJ7" s="10"/>
      <c r="AK7" s="10"/>
    </row>
    <row r="8" spans="2:37" ht="15.75" customHeight="1">
      <c r="B8" s="201"/>
      <c r="C8" s="337" t="str">
        <f>Information!B97</f>
        <v xml:space="preserve">Ms. </v>
      </c>
      <c r="D8" s="337" t="str">
        <f>Information!C97</f>
        <v>Sandra Fricker</v>
      </c>
      <c r="E8" s="337"/>
      <c r="F8" s="338"/>
      <c r="G8" s="339"/>
      <c r="H8" s="332"/>
      <c r="I8" s="332"/>
      <c r="J8" s="332"/>
      <c r="K8" s="332"/>
      <c r="L8" s="332"/>
      <c r="M8" s="202"/>
      <c r="P8" s="6" t="s">
        <v>166</v>
      </c>
      <c r="Q8" s="722">
        <f>Information!B39</f>
        <v>21591</v>
      </c>
      <c r="R8" s="722"/>
      <c r="S8" s="5" t="str">
        <f>Information!B98</f>
        <v>Gagnon AG</v>
      </c>
      <c r="T8" s="5"/>
      <c r="U8" s="210" t="str">
        <f>Information!B99</f>
        <v>Schauplatzgasse 72</v>
      </c>
      <c r="V8" s="210"/>
      <c r="W8" s="6">
        <f>Information!B100</f>
        <v>3001</v>
      </c>
      <c r="X8" s="6" t="str">
        <f>Information!C100</f>
        <v>Bern</v>
      </c>
      <c r="Y8" s="258"/>
      <c r="Z8" s="258"/>
      <c r="AA8" s="258"/>
      <c r="AB8" s="258"/>
      <c r="AC8" s="135"/>
      <c r="AD8" s="135"/>
      <c r="AE8" s="10"/>
      <c r="AF8" s="10"/>
      <c r="AG8" s="10"/>
      <c r="AH8" s="10"/>
      <c r="AI8" s="10"/>
      <c r="AJ8" s="10"/>
      <c r="AK8" s="10"/>
    </row>
    <row r="9" spans="2:37" ht="15.75" customHeight="1">
      <c r="B9" s="201"/>
      <c r="C9" s="337" t="str">
        <f>Information!B98</f>
        <v>Gagnon AG</v>
      </c>
      <c r="D9" s="223"/>
      <c r="E9" s="338"/>
      <c r="F9" s="223"/>
      <c r="G9" s="340"/>
      <c r="H9" s="252"/>
      <c r="I9" s="252"/>
      <c r="J9" s="252"/>
      <c r="K9" s="335"/>
      <c r="L9" s="333"/>
      <c r="M9" s="202"/>
      <c r="P9" s="6" t="s">
        <v>133</v>
      </c>
      <c r="Q9" s="254" t="s">
        <v>226</v>
      </c>
      <c r="R9" s="6"/>
      <c r="S9" s="6"/>
      <c r="T9" s="5"/>
      <c r="U9" s="9"/>
      <c r="V9" s="9"/>
      <c r="W9" s="9"/>
      <c r="X9" s="6"/>
      <c r="Y9" s="213"/>
      <c r="Z9" s="213"/>
      <c r="AA9" s="213"/>
      <c r="AB9" s="213"/>
      <c r="AC9" s="135"/>
      <c r="AD9" s="135"/>
      <c r="AE9" s="10"/>
      <c r="AF9" s="10"/>
      <c r="AG9" s="10"/>
      <c r="AH9" s="10"/>
      <c r="AI9" s="10"/>
      <c r="AJ9" s="10"/>
      <c r="AK9" s="10"/>
    </row>
    <row r="10" spans="2:37" ht="15.75" customHeight="1">
      <c r="B10" s="201"/>
      <c r="C10" s="337" t="str">
        <f>Information!B99</f>
        <v>Schauplatzgasse 72</v>
      </c>
      <c r="D10" s="223"/>
      <c r="E10" s="338"/>
      <c r="F10" s="223"/>
      <c r="G10" s="340"/>
      <c r="H10" s="252"/>
      <c r="I10" s="252"/>
      <c r="J10" s="252"/>
      <c r="K10" s="335"/>
      <c r="L10" s="333"/>
      <c r="M10" s="202"/>
      <c r="P10" s="6"/>
      <c r="Q10" s="6"/>
      <c r="R10" s="6"/>
      <c r="S10" s="6"/>
      <c r="T10" s="5"/>
      <c r="U10" s="9"/>
      <c r="V10" s="9"/>
      <c r="W10" s="9"/>
      <c r="X10" s="6"/>
      <c r="Y10" s="212"/>
      <c r="Z10" s="35"/>
      <c r="AA10" s="35"/>
      <c r="AB10" s="35"/>
      <c r="AC10" s="135"/>
      <c r="AD10" s="135"/>
      <c r="AE10" s="10"/>
      <c r="AF10" s="10"/>
      <c r="AG10" s="10"/>
      <c r="AH10" s="10"/>
      <c r="AI10" s="10"/>
      <c r="AJ10" s="10"/>
      <c r="AK10" s="10"/>
    </row>
    <row r="11" spans="2:37" ht="15.75" customHeight="1">
      <c r="B11" s="201"/>
      <c r="C11" s="337">
        <f>Information!B100</f>
        <v>3001</v>
      </c>
      <c r="D11" s="223" t="str">
        <f>Information!C100</f>
        <v>Bern</v>
      </c>
      <c r="E11" s="338"/>
      <c r="F11" s="223"/>
      <c r="G11" s="340"/>
      <c r="H11" s="252"/>
      <c r="I11" s="252"/>
      <c r="J11" s="252"/>
      <c r="K11" s="335"/>
      <c r="L11" s="333"/>
      <c r="M11" s="202"/>
      <c r="P11" s="6" t="s">
        <v>185</v>
      </c>
      <c r="Q11" s="6"/>
      <c r="R11" s="6"/>
      <c r="S11" s="6"/>
      <c r="T11" s="136">
        <f>T12/W15</f>
        <v>350.30359645025686</v>
      </c>
      <c r="U11" s="9"/>
      <c r="V11" s="9"/>
      <c r="W11" s="12"/>
      <c r="X11" s="6"/>
      <c r="Y11" s="211"/>
      <c r="Z11" s="135"/>
      <c r="AA11" s="135"/>
      <c r="AB11" s="135"/>
      <c r="AC11" s="135"/>
      <c r="AD11" s="135"/>
      <c r="AE11" s="10"/>
      <c r="AF11" s="10"/>
      <c r="AG11" s="10"/>
      <c r="AH11" s="10"/>
      <c r="AI11" s="10"/>
      <c r="AJ11" s="10"/>
      <c r="AK11" s="10"/>
    </row>
    <row r="12" spans="2:37" ht="19.649999999999999" customHeight="1">
      <c r="B12" s="201"/>
      <c r="C12" s="337" t="str">
        <f>Information!B101</f>
        <v>Switzerland</v>
      </c>
      <c r="D12" s="223"/>
      <c r="E12" s="223"/>
      <c r="F12" s="223"/>
      <c r="G12" s="340"/>
      <c r="H12" s="252"/>
      <c r="I12" s="252"/>
      <c r="J12" s="252"/>
      <c r="L12" s="333"/>
      <c r="M12" s="202"/>
      <c r="P12" s="6" t="s">
        <v>200</v>
      </c>
      <c r="Q12" s="6"/>
      <c r="R12" s="6" t="str">
        <f>Q9</f>
        <v>CHF</v>
      </c>
      <c r="S12" s="6"/>
      <c r="T12" s="262">
        <v>375</v>
      </c>
      <c r="U12" s="9"/>
      <c r="V12" s="210"/>
      <c r="W12" s="12"/>
      <c r="X12" s="6"/>
      <c r="Y12" s="196"/>
      <c r="Z12" s="135"/>
      <c r="AA12" s="135"/>
      <c r="AB12" s="135"/>
      <c r="AC12" s="135"/>
      <c r="AD12" s="135"/>
      <c r="AE12" s="10"/>
      <c r="AF12" s="10"/>
      <c r="AG12" s="10"/>
      <c r="AH12" s="10"/>
      <c r="AI12" s="10"/>
      <c r="AJ12" s="10"/>
      <c r="AK12" s="10"/>
    </row>
    <row r="13" spans="2:37" ht="15.75" customHeight="1">
      <c r="B13" s="201"/>
      <c r="C13" s="337" t="str">
        <f>Information!B103</f>
        <v>Email:</v>
      </c>
      <c r="D13" s="223"/>
      <c r="E13" s="341" t="str">
        <f>Information!C103</f>
        <v>fricker@gagnon.ch</v>
      </c>
      <c r="F13" s="223"/>
      <c r="G13" s="340"/>
      <c r="H13" s="252"/>
      <c r="I13" s="252"/>
      <c r="J13" s="252"/>
      <c r="K13" s="335"/>
      <c r="L13" s="333"/>
      <c r="M13" s="202"/>
      <c r="P13" s="6" t="s">
        <v>199</v>
      </c>
      <c r="Q13" s="6"/>
      <c r="R13" s="6"/>
      <c r="S13" s="6"/>
      <c r="T13" s="6"/>
      <c r="U13" s="9"/>
      <c r="V13" s="9"/>
      <c r="W13" s="12"/>
      <c r="X13" s="6"/>
      <c r="Y13" s="135"/>
      <c r="Z13" s="135"/>
      <c r="AA13" s="195"/>
      <c r="AB13" s="195"/>
      <c r="AC13" s="195"/>
      <c r="AD13" s="195"/>
      <c r="AE13" s="10"/>
      <c r="AF13" s="10"/>
      <c r="AG13" s="10"/>
      <c r="AH13" s="10"/>
      <c r="AI13" s="10"/>
      <c r="AJ13" s="10"/>
      <c r="AK13" s="10"/>
    </row>
    <row r="14" spans="2:37" ht="15.75" customHeight="1">
      <c r="B14" s="201"/>
      <c r="C14" s="253"/>
      <c r="D14" s="333"/>
      <c r="E14" s="251"/>
      <c r="F14" s="333"/>
      <c r="G14" s="252"/>
      <c r="H14" s="252"/>
      <c r="I14" s="252"/>
      <c r="J14" s="252"/>
      <c r="K14" s="335"/>
      <c r="L14" s="333"/>
      <c r="M14" s="202"/>
      <c r="P14" s="6"/>
      <c r="Q14" s="6"/>
      <c r="R14" s="6"/>
      <c r="S14" s="6"/>
      <c r="T14" s="6"/>
      <c r="U14" s="9"/>
      <c r="V14" s="9"/>
      <c r="W14" s="12"/>
      <c r="X14" s="6"/>
      <c r="Y14" s="6"/>
      <c r="Z14" s="6"/>
      <c r="AA14" s="10"/>
      <c r="AB14" s="10"/>
      <c r="AC14" s="10"/>
      <c r="AD14" s="10"/>
      <c r="AE14" s="10"/>
      <c r="AF14" s="10"/>
      <c r="AG14" s="10"/>
      <c r="AH14" s="10"/>
      <c r="AI14" s="10"/>
      <c r="AJ14" s="10"/>
      <c r="AK14" s="10"/>
    </row>
    <row r="15" spans="2:37" ht="15.75" customHeight="1">
      <c r="B15" s="201"/>
      <c r="C15" s="253"/>
      <c r="D15" s="336"/>
      <c r="E15" s="334"/>
      <c r="F15" s="333"/>
      <c r="G15" s="252"/>
      <c r="H15" s="252"/>
      <c r="I15" s="362"/>
      <c r="J15" s="371"/>
      <c r="K15" s="371" t="s">
        <v>168</v>
      </c>
      <c r="L15" s="709">
        <f>Information!J2-59</f>
        <v>44867</v>
      </c>
      <c r="M15" s="202"/>
      <c r="P15" s="5" t="s">
        <v>187</v>
      </c>
      <c r="Q15" s="6"/>
      <c r="R15" s="7">
        <v>1</v>
      </c>
      <c r="S15" s="6" t="s">
        <v>26</v>
      </c>
      <c r="T15" s="6" t="str">
        <f>Q9</f>
        <v>CHF</v>
      </c>
      <c r="U15" s="318">
        <f>ROUND(W15+(W15*1%),4)</f>
        <v>1.0811999999999999</v>
      </c>
      <c r="V15" s="8" t="s">
        <v>27</v>
      </c>
      <c r="W15" s="319">
        <v>1.0705</v>
      </c>
      <c r="X15" s="6"/>
      <c r="Y15" s="6"/>
      <c r="Z15" s="6"/>
      <c r="AA15" s="10"/>
      <c r="AB15" s="10"/>
      <c r="AC15" s="10"/>
      <c r="AD15" s="10"/>
      <c r="AE15" s="10"/>
      <c r="AF15" s="10"/>
      <c r="AG15" s="10"/>
      <c r="AH15" s="10"/>
      <c r="AI15" s="10"/>
      <c r="AJ15" s="10"/>
      <c r="AK15" s="10"/>
    </row>
    <row r="16" spans="2:37" ht="15.75" customHeight="1">
      <c r="B16" s="201"/>
      <c r="C16" s="253"/>
      <c r="D16" s="253"/>
      <c r="E16" s="253" t="s">
        <v>169</v>
      </c>
      <c r="F16" s="333"/>
      <c r="G16" s="253"/>
      <c r="H16" s="253"/>
      <c r="I16" s="363"/>
      <c r="J16" s="371"/>
      <c r="K16" s="371" t="s">
        <v>170</v>
      </c>
      <c r="L16" s="361">
        <f>Information!C95</f>
        <v>21591</v>
      </c>
      <c r="M16" s="202"/>
      <c r="P16" s="6"/>
      <c r="Q16" s="6"/>
      <c r="R16" s="6"/>
      <c r="S16" s="6"/>
      <c r="T16" s="6"/>
      <c r="U16" s="8"/>
      <c r="V16" s="8"/>
      <c r="W16" s="9"/>
      <c r="X16" s="6"/>
      <c r="Y16" s="6"/>
      <c r="Z16" s="6"/>
      <c r="AA16" s="10"/>
      <c r="AB16" s="10"/>
      <c r="AC16" s="10"/>
      <c r="AD16" s="10"/>
      <c r="AE16" s="10"/>
      <c r="AF16" s="10"/>
      <c r="AG16" s="10"/>
      <c r="AH16" s="10"/>
      <c r="AI16" s="10"/>
      <c r="AJ16" s="10"/>
      <c r="AK16" s="10"/>
    </row>
    <row r="17" spans="2:37" ht="15.75" customHeight="1">
      <c r="B17" s="201"/>
      <c r="C17" s="333"/>
      <c r="D17" s="333"/>
      <c r="E17" s="333"/>
      <c r="F17" s="333"/>
      <c r="G17" s="252"/>
      <c r="H17" s="252"/>
      <c r="I17" s="252"/>
      <c r="J17" s="333"/>
      <c r="K17" s="333"/>
      <c r="L17" s="223"/>
      <c r="M17" s="202"/>
      <c r="P17" s="10"/>
      <c r="Q17" s="10"/>
      <c r="R17" s="10"/>
      <c r="S17" s="10"/>
      <c r="T17" s="10"/>
      <c r="U17" s="10"/>
      <c r="V17" s="10"/>
      <c r="W17" s="10"/>
      <c r="X17" s="10"/>
      <c r="Y17" s="10"/>
      <c r="Z17" s="10"/>
      <c r="AA17" s="10"/>
      <c r="AB17" s="10"/>
      <c r="AC17" s="10"/>
      <c r="AD17" s="10"/>
      <c r="AE17" s="10"/>
      <c r="AF17" s="10"/>
      <c r="AG17" s="10"/>
      <c r="AH17" s="10"/>
      <c r="AI17" s="10"/>
      <c r="AJ17" s="10"/>
      <c r="AK17" s="10"/>
    </row>
    <row r="18" spans="2:37" ht="17.399999999999999">
      <c r="B18" s="342"/>
      <c r="C18" s="370" t="s">
        <v>247</v>
      </c>
      <c r="D18" s="370"/>
      <c r="E18" s="346"/>
      <c r="F18" s="380">
        <f>W7-1</f>
        <v>28</v>
      </c>
      <c r="G18" s="347"/>
      <c r="H18" s="347"/>
      <c r="I18" s="347"/>
      <c r="J18" s="371"/>
      <c r="K18" s="371" t="s">
        <v>171</v>
      </c>
      <c r="L18" s="709">
        <f>L15+3</f>
        <v>44870</v>
      </c>
      <c r="M18" s="202"/>
      <c r="P18" s="6" t="s">
        <v>188</v>
      </c>
      <c r="Q18" s="6"/>
      <c r="R18" s="6"/>
      <c r="S18" s="6"/>
      <c r="T18" s="6"/>
      <c r="U18" s="9"/>
      <c r="V18" s="9"/>
      <c r="W18" s="10"/>
      <c r="X18" s="10"/>
      <c r="Y18" s="10"/>
      <c r="Z18" s="10"/>
      <c r="AA18" s="10"/>
      <c r="AB18" s="10"/>
      <c r="AC18" s="10"/>
      <c r="AD18" s="10"/>
      <c r="AE18" s="10"/>
      <c r="AF18" s="10"/>
      <c r="AG18" s="10"/>
      <c r="AH18" s="10"/>
      <c r="AI18" s="10"/>
      <c r="AJ18" s="10"/>
      <c r="AK18" s="10"/>
    </row>
    <row r="19" spans="2:37" ht="16.8">
      <c r="B19" s="342"/>
      <c r="C19" s="345"/>
      <c r="D19" s="345"/>
      <c r="E19" s="346"/>
      <c r="F19" s="346"/>
      <c r="G19" s="343"/>
      <c r="H19" s="343"/>
      <c r="I19" s="343"/>
      <c r="J19" s="343"/>
      <c r="K19" s="343"/>
      <c r="L19" s="344"/>
      <c r="M19" s="202"/>
      <c r="P19" s="6"/>
      <c r="Q19" s="6"/>
      <c r="R19" s="6"/>
      <c r="S19" s="6"/>
      <c r="T19" s="6"/>
      <c r="U19" s="9"/>
      <c r="V19" s="9"/>
      <c r="W19" s="10"/>
      <c r="X19" s="10"/>
      <c r="Y19" s="10"/>
      <c r="Z19" s="10"/>
      <c r="AA19" s="10"/>
      <c r="AB19" s="10"/>
      <c r="AC19" s="10"/>
      <c r="AD19" s="10"/>
      <c r="AE19" s="10"/>
      <c r="AF19" s="10"/>
      <c r="AG19" s="10"/>
      <c r="AH19" s="10"/>
      <c r="AI19" s="10"/>
      <c r="AJ19" s="10"/>
      <c r="AK19" s="10"/>
    </row>
    <row r="20" spans="2:37" ht="34.200000000000003">
      <c r="B20" s="203"/>
      <c r="C20" s="732" t="s">
        <v>14</v>
      </c>
      <c r="D20" s="733"/>
      <c r="E20" s="372" t="s">
        <v>6</v>
      </c>
      <c r="F20" s="372"/>
      <c r="G20" s="373"/>
      <c r="H20" s="374" t="s">
        <v>172</v>
      </c>
      <c r="I20" s="374"/>
      <c r="J20" s="374"/>
      <c r="K20" s="373"/>
      <c r="L20" s="375" t="s">
        <v>173</v>
      </c>
      <c r="M20" s="348"/>
      <c r="P20" s="11"/>
      <c r="Q20" s="11"/>
      <c r="R20" s="11"/>
      <c r="S20" s="11"/>
      <c r="T20" s="11"/>
      <c r="U20" s="11"/>
      <c r="V20" s="11"/>
      <c r="W20" s="11"/>
      <c r="X20" s="11"/>
      <c r="Y20" s="11"/>
      <c r="Z20" s="11"/>
      <c r="AA20" s="11"/>
      <c r="AB20" s="11"/>
      <c r="AC20" s="11"/>
      <c r="AD20" s="11"/>
      <c r="AE20" s="11"/>
      <c r="AF20" s="11"/>
      <c r="AG20" s="11"/>
      <c r="AH20" s="11"/>
      <c r="AI20" s="11"/>
      <c r="AJ20" s="11"/>
      <c r="AK20" s="11"/>
    </row>
    <row r="21" spans="2:37" ht="15.6">
      <c r="B21" s="201"/>
      <c r="C21" s="223"/>
      <c r="D21" s="223"/>
      <c r="E21" s="223"/>
      <c r="F21" s="223"/>
      <c r="G21" s="340" t="s">
        <v>133</v>
      </c>
      <c r="H21" s="340" t="str">
        <f>Q9</f>
        <v>CHF</v>
      </c>
      <c r="I21" s="381"/>
      <c r="J21" s="381"/>
      <c r="K21" s="349"/>
      <c r="L21" s="223"/>
      <c r="M21" s="202"/>
      <c r="P21" s="6"/>
      <c r="Q21" s="6"/>
      <c r="R21" s="6"/>
      <c r="S21" s="6"/>
      <c r="T21" s="6"/>
      <c r="U21" s="9"/>
      <c r="V21" s="210"/>
      <c r="W21" s="12"/>
      <c r="X21" s="6"/>
      <c r="Y21" s="6"/>
      <c r="Z21" s="10"/>
      <c r="AA21" s="10"/>
      <c r="AB21" s="10"/>
      <c r="AC21" s="10"/>
      <c r="AD21" s="10"/>
      <c r="AE21" s="10"/>
      <c r="AF21" s="10"/>
      <c r="AG21" s="10"/>
      <c r="AH21" s="10"/>
      <c r="AI21" s="10"/>
      <c r="AJ21" s="10"/>
      <c r="AK21" s="10"/>
    </row>
    <row r="22" spans="2:37" ht="15.6">
      <c r="B22" s="201"/>
      <c r="C22" s="382">
        <v>25</v>
      </c>
      <c r="D22" s="382" t="s">
        <v>85</v>
      </c>
      <c r="E22" s="383" t="s">
        <v>297</v>
      </c>
      <c r="F22" s="383"/>
      <c r="G22" s="383"/>
      <c r="H22" s="384">
        <f>ROUND(T11*W15,2)</f>
        <v>375</v>
      </c>
      <c r="I22" s="384"/>
      <c r="J22" s="384"/>
      <c r="K22" s="358" t="str">
        <f>H21</f>
        <v>CHF</v>
      </c>
      <c r="L22" s="385">
        <f>H22*C22</f>
        <v>9375</v>
      </c>
      <c r="M22" s="202"/>
      <c r="P22" s="6" t="s">
        <v>28</v>
      </c>
      <c r="Q22" s="10"/>
      <c r="R22" s="10"/>
      <c r="S22" s="10"/>
      <c r="T22" s="10"/>
      <c r="U22" s="9" t="s">
        <v>33</v>
      </c>
      <c r="V22" s="165">
        <f>'Bank Statement-noInfo'!K5</f>
        <v>3</v>
      </c>
      <c r="W22" s="210"/>
      <c r="X22" s="10"/>
      <c r="Y22" s="10"/>
      <c r="Z22" s="10"/>
      <c r="AA22" s="10"/>
      <c r="AB22" s="10"/>
      <c r="AC22" s="10"/>
      <c r="AD22" s="10"/>
      <c r="AE22" s="10"/>
      <c r="AF22" s="10"/>
      <c r="AG22" s="10"/>
      <c r="AH22" s="10"/>
      <c r="AI22" s="10"/>
      <c r="AJ22" s="10"/>
      <c r="AK22" s="10"/>
    </row>
    <row r="23" spans="2:37" ht="15.6">
      <c r="B23" s="201"/>
      <c r="C23" s="223"/>
      <c r="D23" s="223"/>
      <c r="E23" s="337" t="s">
        <v>298</v>
      </c>
      <c r="F23" s="337"/>
      <c r="G23" s="337"/>
      <c r="H23" s="386"/>
      <c r="I23" s="386"/>
      <c r="J23" s="386"/>
      <c r="K23" s="358"/>
      <c r="L23" s="360"/>
      <c r="M23" s="202"/>
      <c r="P23" s="10"/>
      <c r="Q23" s="10"/>
      <c r="R23" s="7">
        <v>1</v>
      </c>
      <c r="S23" s="6" t="s">
        <v>26</v>
      </c>
      <c r="T23" s="6" t="str">
        <f>Q9</f>
        <v>CHF</v>
      </c>
      <c r="U23" s="318">
        <f>ROUND(W15+(W15*1.5%),4)</f>
        <v>1.0866</v>
      </c>
      <c r="V23" s="8"/>
      <c r="W23" s="13"/>
      <c r="X23" s="6"/>
      <c r="Y23" s="6"/>
      <c r="Z23" s="10"/>
      <c r="AA23" s="10"/>
      <c r="AB23" s="10"/>
      <c r="AC23" s="10"/>
      <c r="AD23" s="10"/>
      <c r="AE23" s="10"/>
      <c r="AF23" s="10"/>
      <c r="AG23" s="10"/>
      <c r="AH23" s="10"/>
      <c r="AI23" s="10"/>
      <c r="AJ23" s="10"/>
      <c r="AK23" s="10"/>
    </row>
    <row r="24" spans="2:37" ht="15.6">
      <c r="B24" s="201"/>
      <c r="C24" s="223"/>
      <c r="D24" s="223"/>
      <c r="E24" s="387"/>
      <c r="F24" s="387"/>
      <c r="G24" s="387"/>
      <c r="H24" s="340"/>
      <c r="I24" s="340"/>
      <c r="J24" s="358" t="s">
        <v>174</v>
      </c>
      <c r="K24" s="358" t="str">
        <f>$K$22</f>
        <v>CHF</v>
      </c>
      <c r="L24" s="360">
        <f>SUM(L22:L23)</f>
        <v>9375</v>
      </c>
      <c r="M24" s="202"/>
      <c r="P24" s="2"/>
      <c r="Q24" s="2"/>
      <c r="R24" s="2"/>
      <c r="S24" s="2"/>
      <c r="T24" s="2"/>
      <c r="U24" s="2"/>
      <c r="V24" s="2"/>
      <c r="W24" s="2"/>
      <c r="X24" s="2"/>
      <c r="Y24" s="10"/>
      <c r="Z24" s="10"/>
      <c r="AA24" s="10"/>
      <c r="AB24" s="10"/>
      <c r="AC24" s="10"/>
      <c r="AD24" s="10"/>
      <c r="AE24" s="10"/>
      <c r="AF24" s="10"/>
      <c r="AG24" s="10"/>
      <c r="AH24" s="10"/>
      <c r="AI24" s="10"/>
      <c r="AJ24" s="10"/>
      <c r="AK24" s="10"/>
    </row>
    <row r="25" spans="2:37" ht="15.6">
      <c r="B25" s="201"/>
      <c r="C25" s="223"/>
      <c r="D25" s="223"/>
      <c r="E25" s="337"/>
      <c r="F25" s="337"/>
      <c r="G25" s="340"/>
      <c r="H25" s="340"/>
      <c r="I25" s="340"/>
      <c r="J25" s="388" t="s">
        <v>175</v>
      </c>
      <c r="K25" s="358" t="str">
        <f t="shared" ref="K25:K28" si="0">$K$22</f>
        <v>CHF</v>
      </c>
      <c r="L25" s="360">
        <f>L24*C30</f>
        <v>0</v>
      </c>
      <c r="M25" s="202"/>
      <c r="P25" s="6" t="s">
        <v>29</v>
      </c>
      <c r="Q25" s="6"/>
      <c r="R25" s="6"/>
      <c r="S25" s="6"/>
      <c r="T25" s="6"/>
      <c r="U25" s="6"/>
      <c r="V25" s="6" t="s">
        <v>30</v>
      </c>
      <c r="W25" s="189">
        <v>5.3</v>
      </c>
      <c r="X25" s="2"/>
      <c r="Y25" s="10"/>
      <c r="Z25" s="10"/>
      <c r="AA25" s="10"/>
      <c r="AB25" s="10"/>
      <c r="AC25" s="10"/>
      <c r="AD25" s="10"/>
      <c r="AE25" s="10"/>
      <c r="AF25" s="10"/>
      <c r="AG25" s="10"/>
      <c r="AH25" s="10"/>
      <c r="AI25" s="10"/>
      <c r="AJ25" s="10"/>
      <c r="AK25" s="10"/>
    </row>
    <row r="26" spans="2:37" ht="15.6">
      <c r="B26" s="201"/>
      <c r="C26" s="350"/>
      <c r="D26" s="350"/>
      <c r="E26" s="223"/>
      <c r="F26" s="351"/>
      <c r="G26" s="351"/>
      <c r="H26" s="352"/>
      <c r="I26" s="352"/>
      <c r="J26" s="358" t="s">
        <v>13</v>
      </c>
      <c r="K26" s="358" t="str">
        <f t="shared" si="0"/>
        <v>CHF</v>
      </c>
      <c r="L26" s="389">
        <f>SUM(L24:L25)</f>
        <v>9375</v>
      </c>
      <c r="M26" s="202"/>
      <c r="P26" s="2"/>
      <c r="Q26" s="2"/>
      <c r="R26" s="2"/>
      <c r="S26" s="2"/>
      <c r="T26" s="2"/>
      <c r="U26" s="2"/>
      <c r="V26" s="2"/>
      <c r="W26" s="2"/>
      <c r="X26" s="2"/>
      <c r="Y26" s="10"/>
      <c r="Z26" s="10"/>
      <c r="AA26" s="10"/>
      <c r="AB26" s="10"/>
      <c r="AC26" s="10"/>
      <c r="AD26" s="10"/>
      <c r="AE26" s="10"/>
      <c r="AF26" s="10"/>
      <c r="AG26" s="10"/>
      <c r="AH26" s="10"/>
      <c r="AI26" s="10"/>
      <c r="AJ26" s="10"/>
      <c r="AK26" s="10"/>
    </row>
    <row r="27" spans="2:37" ht="15.6">
      <c r="B27" s="201"/>
      <c r="C27" s="350"/>
      <c r="D27" s="350"/>
      <c r="E27" s="390"/>
      <c r="F27" s="351"/>
      <c r="G27" s="352"/>
      <c r="H27" s="353" t="s">
        <v>201</v>
      </c>
      <c r="I27" s="353"/>
      <c r="J27" s="379" t="s">
        <v>176</v>
      </c>
      <c r="K27" s="358" t="str">
        <f t="shared" si="0"/>
        <v>CHF</v>
      </c>
      <c r="L27" s="391">
        <v>0</v>
      </c>
      <c r="M27" s="202"/>
      <c r="P27" s="2"/>
      <c r="Q27" s="2"/>
      <c r="R27" s="2"/>
      <c r="S27" s="2"/>
      <c r="T27" s="2"/>
      <c r="U27" s="2"/>
      <c r="V27" s="2"/>
      <c r="W27" s="2"/>
      <c r="X27" s="2"/>
      <c r="Y27" s="10"/>
      <c r="Z27" s="10"/>
      <c r="AA27" s="10"/>
      <c r="AB27" s="10"/>
      <c r="AC27" s="10"/>
      <c r="AD27" s="10"/>
      <c r="AE27" s="10"/>
      <c r="AF27" s="10"/>
      <c r="AG27" s="10"/>
      <c r="AH27" s="10"/>
      <c r="AI27" s="10"/>
      <c r="AJ27" s="10"/>
      <c r="AK27" s="10"/>
    </row>
    <row r="28" spans="2:37" ht="15.6">
      <c r="B28" s="201"/>
      <c r="C28" s="350"/>
      <c r="D28" s="350"/>
      <c r="E28" s="223"/>
      <c r="F28" s="351"/>
      <c r="G28" s="352"/>
      <c r="H28" s="352"/>
      <c r="I28" s="352"/>
      <c r="J28" s="392" t="s">
        <v>177</v>
      </c>
      <c r="K28" s="358" t="str">
        <f t="shared" si="0"/>
        <v>CHF</v>
      </c>
      <c r="L28" s="393">
        <f>L26-L27</f>
        <v>9375</v>
      </c>
      <c r="M28" s="202"/>
    </row>
    <row r="29" spans="2:37" ht="15.6">
      <c r="B29" s="201"/>
      <c r="C29" s="350"/>
      <c r="D29" s="350"/>
      <c r="E29" s="338"/>
      <c r="F29" s="351"/>
      <c r="G29" s="352"/>
      <c r="H29" s="352"/>
      <c r="I29" s="352"/>
      <c r="J29" s="354"/>
      <c r="K29" s="354"/>
      <c r="L29" s="355"/>
      <c r="M29" s="202"/>
    </row>
    <row r="30" spans="2:37" ht="15.6">
      <c r="B30" s="201"/>
      <c r="C30" s="394">
        <v>0</v>
      </c>
      <c r="D30" s="350" t="s">
        <v>227</v>
      </c>
      <c r="E30" s="223"/>
      <c r="F30" s="351"/>
      <c r="G30" s="352"/>
      <c r="H30" s="352"/>
      <c r="I30" s="352"/>
      <c r="J30" s="395"/>
      <c r="K30" s="395"/>
      <c r="L30" s="355"/>
      <c r="M30" s="202"/>
    </row>
    <row r="31" spans="2:37" ht="15.6">
      <c r="B31" s="201"/>
      <c r="C31" s="350"/>
      <c r="D31" s="350"/>
      <c r="E31" s="351"/>
      <c r="F31" s="351"/>
      <c r="G31" s="352"/>
      <c r="H31" s="352"/>
      <c r="I31" s="352"/>
      <c r="J31" s="349"/>
      <c r="K31" s="349"/>
      <c r="L31" s="356"/>
      <c r="M31" s="202"/>
    </row>
    <row r="32" spans="2:37" ht="15.6">
      <c r="B32" s="201"/>
      <c r="C32" s="223" t="s">
        <v>178</v>
      </c>
      <c r="D32" s="223"/>
      <c r="E32" s="223"/>
      <c r="F32" s="351"/>
      <c r="G32" s="352"/>
      <c r="H32" s="352"/>
      <c r="I32" s="352"/>
      <c r="J32" s="349"/>
      <c r="K32" s="349"/>
      <c r="L32" s="356"/>
      <c r="M32" s="202"/>
    </row>
    <row r="33" spans="2:13" ht="15.6">
      <c r="B33" s="201"/>
      <c r="C33" s="396" t="s">
        <v>179</v>
      </c>
      <c r="D33" s="396"/>
      <c r="E33" s="396"/>
      <c r="F33" s="397">
        <v>0.02</v>
      </c>
      <c r="G33" s="396" t="s">
        <v>214</v>
      </c>
      <c r="H33" s="396"/>
      <c r="I33" s="398">
        <v>14</v>
      </c>
      <c r="J33" s="396" t="s">
        <v>144</v>
      </c>
      <c r="K33" s="396"/>
      <c r="L33" s="357"/>
      <c r="M33" s="202"/>
    </row>
    <row r="34" spans="2:13" ht="15.6">
      <c r="B34" s="204"/>
      <c r="C34" s="356" t="s">
        <v>180</v>
      </c>
      <c r="D34" s="356"/>
      <c r="E34" s="356"/>
      <c r="F34" s="356"/>
      <c r="G34" s="356"/>
      <c r="H34" s="356"/>
      <c r="I34" s="356"/>
      <c r="J34" s="356"/>
      <c r="K34" s="356"/>
      <c r="L34" s="356"/>
      <c r="M34" s="202"/>
    </row>
    <row r="35" spans="2:13" ht="15.6">
      <c r="B35" s="204"/>
      <c r="C35" s="356" t="s">
        <v>257</v>
      </c>
      <c r="D35" s="356"/>
      <c r="E35" s="356"/>
      <c r="F35" s="356"/>
      <c r="G35" s="356" t="s">
        <v>255</v>
      </c>
      <c r="H35" s="356" t="s">
        <v>256</v>
      </c>
      <c r="I35" s="356"/>
      <c r="J35" s="356"/>
      <c r="K35" s="356"/>
      <c r="L35" s="356"/>
      <c r="M35" s="202"/>
    </row>
    <row r="36" spans="2:13" ht="15.6">
      <c r="B36" s="201"/>
      <c r="C36" s="223"/>
      <c r="D36" s="223"/>
      <c r="E36" s="358"/>
      <c r="F36" s="358"/>
      <c r="G36" s="358"/>
      <c r="H36" s="358"/>
      <c r="I36" s="358"/>
      <c r="J36" s="358"/>
      <c r="K36" s="359"/>
      <c r="L36" s="360"/>
      <c r="M36" s="202"/>
    </row>
    <row r="37" spans="2:13" ht="14.4">
      <c r="B37" s="201"/>
      <c r="C37" s="399" t="s">
        <v>181</v>
      </c>
      <c r="D37" s="400"/>
      <c r="E37" s="400"/>
      <c r="F37" s="400"/>
      <c r="G37" s="401"/>
      <c r="H37" s="401"/>
      <c r="I37" s="401"/>
      <c r="J37" s="401"/>
      <c r="K37" s="400"/>
      <c r="L37" s="402"/>
      <c r="M37" s="202"/>
    </row>
    <row r="38" spans="2:13" ht="14.4">
      <c r="B38" s="201"/>
      <c r="C38" s="403" t="str">
        <f>Information!B17</f>
        <v>Vienna Bank</v>
      </c>
      <c r="D38" s="404"/>
      <c r="E38" s="405"/>
      <c r="F38" s="405"/>
      <c r="G38" s="406"/>
      <c r="H38" s="406"/>
      <c r="I38" s="406"/>
      <c r="J38" s="406"/>
      <c r="K38" s="405"/>
      <c r="L38" s="407"/>
      <c r="M38" s="202"/>
    </row>
    <row r="39" spans="2:13" ht="14.4">
      <c r="B39" s="201"/>
      <c r="C39" s="408" t="s">
        <v>20</v>
      </c>
      <c r="D39" s="409"/>
      <c r="E39" s="409" t="str">
        <f>Information!C19</f>
        <v>AT 99 3829 0003 7408 3921</v>
      </c>
      <c r="F39" s="409"/>
      <c r="G39" s="409"/>
      <c r="H39" s="410"/>
      <c r="I39" s="410" t="s">
        <v>21</v>
      </c>
      <c r="J39" s="410"/>
      <c r="K39" s="405" t="str">
        <f>Information!C20</f>
        <v>VIBKATWW</v>
      </c>
      <c r="L39" s="407"/>
      <c r="M39" s="202"/>
    </row>
    <row r="40" spans="2:13" ht="14.4">
      <c r="B40" s="201"/>
      <c r="C40" s="411" t="s">
        <v>182</v>
      </c>
      <c r="D40" s="412"/>
      <c r="E40" s="412"/>
      <c r="F40" s="412"/>
      <c r="G40" s="413"/>
      <c r="H40" s="412" t="str">
        <f>Information!F11</f>
        <v>FN 372895 w</v>
      </c>
      <c r="I40" s="412" t="s">
        <v>147</v>
      </c>
      <c r="J40" s="413"/>
      <c r="K40" s="414" t="str">
        <f>Information!E10</f>
        <v>ATU 67281579</v>
      </c>
      <c r="L40" s="415"/>
      <c r="M40" s="202"/>
    </row>
    <row r="41" spans="2:13" ht="13.8" thickBot="1">
      <c r="B41" s="205"/>
      <c r="C41" s="206"/>
      <c r="D41" s="206"/>
      <c r="E41" s="206"/>
      <c r="F41" s="206"/>
      <c r="G41" s="207"/>
      <c r="H41" s="207"/>
      <c r="I41" s="207"/>
      <c r="J41" s="207"/>
      <c r="K41" s="206"/>
      <c r="L41" s="206"/>
      <c r="M41" s="208"/>
    </row>
  </sheetData>
  <mergeCells count="5">
    <mergeCell ref="C20:D20"/>
    <mergeCell ref="P7:T7"/>
    <mergeCell ref="Y7:Z7"/>
    <mergeCell ref="AA7:AB7"/>
    <mergeCell ref="Q8:R8"/>
  </mergeCells>
  <hyperlinks>
    <hyperlink ref="E13" r:id="rId1" display="info@uttoluxurysuites.com" xr:uid="{4D52D48A-AF11-4C0A-A6B5-ECDA1790F9D7}"/>
  </hyperlinks>
  <pageMargins left="0.7" right="0.7" top="0.78740157499999996" bottom="0.78740157499999996" header="0.3" footer="0.3"/>
  <pageSetup paperSize="9" scale="97" orientation="portrait" horizontalDpi="4294967293" r:id="rId2"/>
  <colBreaks count="1" manualBreakCount="1">
    <brk id="13" max="1048575" man="1"/>
  </colBreaks>
  <ignoredErrors>
    <ignoredError sqref="L25" formula="1"/>
  </ignoredError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P38"/>
  <sheetViews>
    <sheetView showGridLines="0" topLeftCell="A10" workbookViewId="0">
      <selection activeCell="B4" sqref="B4:M38"/>
    </sheetView>
  </sheetViews>
  <sheetFormatPr defaultColWidth="11.5546875" defaultRowHeight="13.2"/>
  <cols>
    <col min="2" max="2" width="4.44140625" customWidth="1"/>
    <col min="3" max="3" width="9.44140625" customWidth="1"/>
    <col min="4" max="4" width="21.5546875" customWidth="1"/>
    <col min="5" max="5" width="27.6640625" customWidth="1"/>
    <col min="6" max="6" width="16.5546875" customWidth="1"/>
    <col min="7" max="7" width="10.5546875" customWidth="1"/>
    <col min="8" max="8" width="4.5546875" customWidth="1"/>
    <col min="9" max="9" width="15.33203125" customWidth="1"/>
    <col min="10" max="10" width="10.44140625" customWidth="1"/>
    <col min="11" max="11" width="8.33203125" customWidth="1"/>
    <col min="12" max="12" width="15.33203125" customWidth="1"/>
    <col min="13" max="13" width="4" customWidth="1"/>
    <col min="15" max="15" width="7" customWidth="1"/>
  </cols>
  <sheetData>
    <row r="2" spans="2:16">
      <c r="B2" s="3" t="s">
        <v>141</v>
      </c>
      <c r="D2" t="s">
        <v>140</v>
      </c>
    </row>
    <row r="4" spans="2:16">
      <c r="B4" s="42"/>
      <c r="C4" s="43"/>
      <c r="D4" s="43"/>
      <c r="E4" s="43"/>
      <c r="F4" s="43"/>
      <c r="G4" s="43"/>
      <c r="H4" s="43"/>
      <c r="I4" s="43"/>
      <c r="J4" s="43"/>
      <c r="K4" s="43"/>
      <c r="L4" s="43"/>
      <c r="M4" s="44"/>
      <c r="O4" s="3"/>
      <c r="P4" s="3"/>
    </row>
    <row r="5" spans="2:16" ht="18">
      <c r="B5" s="45"/>
      <c r="C5" s="46"/>
      <c r="D5" s="47"/>
      <c r="E5" s="47"/>
      <c r="F5" s="47"/>
      <c r="G5" s="47"/>
      <c r="H5" s="47"/>
      <c r="I5" s="47"/>
      <c r="J5" s="47"/>
      <c r="K5" s="47"/>
      <c r="L5" s="47"/>
      <c r="M5" s="48"/>
    </row>
    <row r="6" spans="2:16">
      <c r="B6" s="45"/>
      <c r="C6" s="49"/>
      <c r="D6" s="47"/>
      <c r="E6" s="47"/>
      <c r="F6" s="47"/>
      <c r="G6" s="47"/>
      <c r="H6" s="47"/>
      <c r="I6" s="47"/>
      <c r="J6" s="47"/>
      <c r="K6" s="47"/>
      <c r="L6" s="47"/>
      <c r="M6" s="48"/>
      <c r="P6" s="3"/>
    </row>
    <row r="7" spans="2:16" ht="13.8">
      <c r="B7" s="45"/>
      <c r="C7" s="49"/>
      <c r="D7" s="47"/>
      <c r="E7" s="47"/>
      <c r="F7" s="436" t="str">
        <f>Information!B69</f>
        <v>Hart Lane 24</v>
      </c>
      <c r="G7" s="436">
        <f>Information!B70</f>
        <v>1100</v>
      </c>
      <c r="H7" s="436"/>
      <c r="I7" s="436" t="str">
        <f>Information!B71</f>
        <v>Austria</v>
      </c>
      <c r="J7" s="436"/>
      <c r="K7" s="437"/>
      <c r="L7" s="219"/>
      <c r="M7" s="48"/>
    </row>
    <row r="8" spans="2:16" ht="13.8">
      <c r="B8" s="45"/>
      <c r="C8" s="49"/>
      <c r="D8" s="47"/>
      <c r="E8" s="47"/>
      <c r="F8" s="436" t="str">
        <f>Information!B72</f>
        <v xml:space="preserve">Tel.01-3472854 </v>
      </c>
      <c r="G8" s="436" t="str">
        <f>Information!B73</f>
        <v>Email. speedy@felix.at</v>
      </c>
      <c r="H8" s="436"/>
      <c r="I8" s="436"/>
      <c r="J8" s="436" t="str">
        <f>Information!B74</f>
        <v>www.speedy.at</v>
      </c>
      <c r="K8" s="438"/>
      <c r="L8" s="219"/>
      <c r="M8" s="48"/>
    </row>
    <row r="9" spans="2:16" ht="13.8">
      <c r="B9" s="45"/>
      <c r="C9" s="2"/>
      <c r="D9" s="47"/>
      <c r="E9" s="47"/>
      <c r="F9" s="436" t="s">
        <v>210</v>
      </c>
      <c r="G9" s="436" t="str">
        <f>Information!D77</f>
        <v>ATU 88291725</v>
      </c>
      <c r="H9" s="434"/>
      <c r="I9" s="436" t="s">
        <v>146</v>
      </c>
      <c r="J9" s="436"/>
      <c r="K9" s="436" t="str">
        <f>Information!D76</f>
        <v>FN 632854 i</v>
      </c>
      <c r="L9" s="47"/>
      <c r="M9" s="48"/>
      <c r="P9" s="3"/>
    </row>
    <row r="10" spans="2:16">
      <c r="B10" s="45"/>
      <c r="C10" s="2"/>
      <c r="D10" s="47"/>
      <c r="E10" s="47"/>
      <c r="F10" s="51"/>
      <c r="G10" s="2"/>
      <c r="H10" s="2"/>
      <c r="I10" s="51"/>
      <c r="J10" s="51"/>
      <c r="K10" s="51"/>
      <c r="L10" s="47"/>
      <c r="M10" s="48"/>
      <c r="P10" s="3"/>
    </row>
    <row r="11" spans="2:16" ht="18.600000000000001">
      <c r="B11" s="45"/>
      <c r="C11" s="52" t="s">
        <v>158</v>
      </c>
      <c r="D11" s="53"/>
      <c r="E11" s="164">
        <v>168</v>
      </c>
      <c r="F11" s="52"/>
      <c r="G11" s="137"/>
      <c r="H11" s="47"/>
      <c r="I11" s="47"/>
      <c r="J11" s="47"/>
      <c r="K11" s="47"/>
      <c r="L11" s="47"/>
      <c r="M11" s="48"/>
    </row>
    <row r="12" spans="2:16">
      <c r="B12" s="45"/>
      <c r="C12" s="47"/>
      <c r="D12" s="47"/>
      <c r="E12" s="47"/>
      <c r="F12" s="47"/>
      <c r="G12" s="47"/>
      <c r="H12" s="47"/>
      <c r="I12" s="47"/>
      <c r="J12" s="47"/>
      <c r="K12" s="47"/>
      <c r="L12" s="47"/>
      <c r="M12" s="48"/>
    </row>
    <row r="13" spans="2:16" ht="15.6">
      <c r="B13" s="45"/>
      <c r="C13" s="54" t="s">
        <v>66</v>
      </c>
      <c r="D13" s="607" t="str">
        <f>Information!B3</f>
        <v>Crann Toys GmbH</v>
      </c>
      <c r="E13" s="116"/>
      <c r="F13" s="116"/>
      <c r="G13" s="116"/>
      <c r="H13" s="55"/>
      <c r="I13" s="55"/>
      <c r="J13" s="55"/>
      <c r="K13" s="6"/>
      <c r="L13" s="6"/>
      <c r="M13" s="48"/>
    </row>
    <row r="14" spans="2:16" ht="15.6">
      <c r="B14" s="45"/>
      <c r="C14" s="56"/>
      <c r="D14" s="608" t="str">
        <f>Information!B4</f>
        <v>Cottage St. 13</v>
      </c>
      <c r="E14" s="117"/>
      <c r="F14" s="117"/>
      <c r="G14" s="117"/>
      <c r="H14" s="55"/>
      <c r="I14" s="55"/>
      <c r="J14" s="55"/>
      <c r="K14" s="6"/>
      <c r="L14" s="6"/>
      <c r="M14" s="48"/>
    </row>
    <row r="15" spans="2:16" ht="15.6">
      <c r="B15" s="45"/>
      <c r="C15" s="56"/>
      <c r="D15" s="35" t="str">
        <f>Information!B5</f>
        <v>3430 Tulln</v>
      </c>
      <c r="E15" s="117"/>
      <c r="F15" s="117"/>
      <c r="G15" s="117"/>
      <c r="H15" s="55"/>
      <c r="I15" s="55"/>
      <c r="J15" s="55"/>
      <c r="K15" s="6"/>
      <c r="L15" s="6"/>
      <c r="M15" s="48"/>
    </row>
    <row r="16" spans="2:16" ht="15.6">
      <c r="B16" s="45"/>
      <c r="C16" s="56"/>
      <c r="D16" s="609" t="s">
        <v>67</v>
      </c>
      <c r="E16" s="117"/>
      <c r="F16" s="117"/>
      <c r="G16" s="117"/>
      <c r="H16" s="55"/>
      <c r="I16" s="54" t="s">
        <v>68</v>
      </c>
      <c r="J16" s="54"/>
      <c r="K16" s="35" t="str">
        <f>Information!B3</f>
        <v>Crann Toys GmbH</v>
      </c>
      <c r="L16" s="610"/>
      <c r="M16" s="48"/>
    </row>
    <row r="17" spans="2:13" ht="15.6">
      <c r="B17" s="45"/>
      <c r="C17" s="54" t="s">
        <v>2</v>
      </c>
      <c r="D17" s="56"/>
      <c r="E17" s="710">
        <f>Information!J2-63</f>
        <v>44863</v>
      </c>
      <c r="F17" s="54" t="s">
        <v>69</v>
      </c>
      <c r="G17" s="435">
        <v>352267</v>
      </c>
      <c r="H17" s="55"/>
      <c r="I17" s="58" t="s">
        <v>70</v>
      </c>
      <c r="J17" s="58"/>
      <c r="K17" s="59"/>
      <c r="L17" s="710">
        <f>E17+4</f>
        <v>44867</v>
      </c>
      <c r="M17" s="48"/>
    </row>
    <row r="18" spans="2:13" ht="15.6" thickBot="1">
      <c r="B18" s="45"/>
      <c r="C18" s="60"/>
      <c r="D18" s="60"/>
      <c r="E18" s="60"/>
      <c r="F18" s="60"/>
      <c r="G18" s="60"/>
      <c r="H18" s="60"/>
      <c r="I18" s="60"/>
      <c r="J18" s="60"/>
      <c r="K18" s="60"/>
      <c r="L18" s="60"/>
      <c r="M18" s="48"/>
    </row>
    <row r="19" spans="2:13" ht="18.600000000000001" hidden="1" thickTop="1">
      <c r="B19" s="47"/>
      <c r="C19" s="61" t="s">
        <v>71</v>
      </c>
      <c r="D19" s="62" t="s">
        <v>72</v>
      </c>
      <c r="E19" s="57" t="s">
        <v>73</v>
      </c>
      <c r="F19" s="63" t="s">
        <v>74</v>
      </c>
      <c r="G19" s="63" t="s">
        <v>75</v>
      </c>
      <c r="H19" s="64" t="s">
        <v>76</v>
      </c>
      <c r="I19" s="65" t="s">
        <v>77</v>
      </c>
      <c r="J19" s="66" t="s">
        <v>78</v>
      </c>
      <c r="K19" s="67" t="s">
        <v>79</v>
      </c>
      <c r="L19" s="68" t="s">
        <v>80</v>
      </c>
      <c r="M19" s="735"/>
    </row>
    <row r="20" spans="2:13" ht="18.600000000000001" thickTop="1">
      <c r="B20" s="45"/>
      <c r="C20" s="69" t="s">
        <v>81</v>
      </c>
      <c r="D20" s="70" t="s">
        <v>82</v>
      </c>
      <c r="E20" s="54"/>
      <c r="F20" s="263" t="s">
        <v>83</v>
      </c>
      <c r="G20" s="71"/>
      <c r="H20" s="72"/>
      <c r="I20" s="73" t="s">
        <v>84</v>
      </c>
      <c r="J20" s="74" t="s">
        <v>85</v>
      </c>
      <c r="K20" s="75" t="s">
        <v>86</v>
      </c>
      <c r="L20" s="76" t="s">
        <v>87</v>
      </c>
      <c r="M20" s="735"/>
    </row>
    <row r="21" spans="2:13" ht="15.6">
      <c r="B21" s="45"/>
      <c r="C21" s="183">
        <v>1</v>
      </c>
      <c r="D21" s="184" t="s">
        <v>293</v>
      </c>
      <c r="E21" s="307"/>
      <c r="F21" s="264">
        <v>0.13</v>
      </c>
      <c r="G21" s="179" t="s">
        <v>272</v>
      </c>
      <c r="H21" s="180"/>
      <c r="I21" s="181" t="s">
        <v>271</v>
      </c>
      <c r="J21" s="185">
        <v>3050</v>
      </c>
      <c r="K21" s="186">
        <v>20</v>
      </c>
      <c r="L21" s="182">
        <f>IF(J21&gt;0,F21*K21*J21,"")</f>
        <v>7930</v>
      </c>
      <c r="M21" s="735"/>
    </row>
    <row r="22" spans="2:13" ht="15.6">
      <c r="B22" s="45"/>
      <c r="C22" s="183"/>
      <c r="D22" s="328" t="s">
        <v>294</v>
      </c>
      <c r="E22" s="307"/>
      <c r="F22" s="264"/>
      <c r="G22" s="179"/>
      <c r="H22" s="180"/>
      <c r="I22" s="181"/>
      <c r="J22" s="185"/>
      <c r="K22" s="186"/>
      <c r="L22" s="182"/>
      <c r="M22" s="735"/>
    </row>
    <row r="23" spans="2:13" ht="15.6">
      <c r="B23" s="45"/>
      <c r="C23" s="183"/>
      <c r="D23" s="184" t="s">
        <v>296</v>
      </c>
      <c r="E23" s="307"/>
      <c r="F23" s="264"/>
      <c r="G23" s="179"/>
      <c r="H23" s="180"/>
      <c r="I23" s="181"/>
      <c r="J23" s="185"/>
      <c r="K23" s="186"/>
      <c r="L23" s="182"/>
      <c r="M23" s="735"/>
    </row>
    <row r="24" spans="2:13" ht="15.6">
      <c r="B24" s="45"/>
      <c r="C24" s="183"/>
      <c r="D24" s="184" t="s">
        <v>273</v>
      </c>
      <c r="E24" s="179"/>
      <c r="F24" s="264">
        <v>488</v>
      </c>
      <c r="G24" s="179"/>
      <c r="H24" s="180"/>
      <c r="I24" s="181"/>
      <c r="J24" s="185">
        <v>1</v>
      </c>
      <c r="K24" s="186"/>
      <c r="L24" s="182">
        <f>F24*J24</f>
        <v>488</v>
      </c>
      <c r="M24" s="735"/>
    </row>
    <row r="25" spans="2:13" ht="15.6">
      <c r="B25" s="45"/>
      <c r="C25" s="183"/>
      <c r="D25" s="184"/>
      <c r="E25" s="179"/>
      <c r="F25" s="264"/>
      <c r="G25" s="179"/>
      <c r="H25" s="180"/>
      <c r="I25" s="181"/>
      <c r="J25" s="185"/>
      <c r="K25" s="186"/>
      <c r="L25" s="182"/>
      <c r="M25" s="735"/>
    </row>
    <row r="26" spans="2:13" ht="18">
      <c r="B26" s="45"/>
      <c r="C26" s="83"/>
      <c r="D26" s="278"/>
      <c r="E26" s="80"/>
      <c r="F26" s="265"/>
      <c r="G26" s="80"/>
      <c r="H26" s="81"/>
      <c r="I26" s="84"/>
      <c r="J26" s="85"/>
      <c r="K26" s="82"/>
      <c r="L26" s="182" t="str">
        <f t="shared" ref="L26:L27" si="0">IF(J26&gt;0,F26*K26,"")</f>
        <v/>
      </c>
      <c r="M26" s="735"/>
    </row>
    <row r="27" spans="2:13" ht="18">
      <c r="B27" s="736" t="s">
        <v>88</v>
      </c>
      <c r="C27" s="86"/>
      <c r="D27" s="277"/>
      <c r="E27" s="80"/>
      <c r="F27" s="265"/>
      <c r="G27" s="80"/>
      <c r="H27" s="81"/>
      <c r="I27" s="87"/>
      <c r="J27" s="88"/>
      <c r="K27" s="82"/>
      <c r="L27" s="182" t="str">
        <f t="shared" si="0"/>
        <v/>
      </c>
      <c r="M27" s="735"/>
    </row>
    <row r="28" spans="2:13" ht="18">
      <c r="B28" s="736"/>
      <c r="C28" s="86"/>
      <c r="D28" s="89" t="s">
        <v>89</v>
      </c>
      <c r="E28" s="77"/>
      <c r="F28" s="266"/>
      <c r="G28" s="77"/>
      <c r="H28" s="78"/>
      <c r="I28" s="90"/>
      <c r="J28" s="91"/>
      <c r="K28" s="92"/>
      <c r="L28" s="79">
        <f>SUM(L21:L27)</f>
        <v>8418</v>
      </c>
      <c r="M28" s="735"/>
    </row>
    <row r="29" spans="2:13" ht="16.2" thickBot="1">
      <c r="B29" s="93"/>
      <c r="C29" s="94"/>
      <c r="D29" s="444" t="s">
        <v>90</v>
      </c>
      <c r="E29" s="95"/>
      <c r="F29" s="267"/>
      <c r="G29" s="95"/>
      <c r="H29" s="96"/>
      <c r="I29" s="97"/>
      <c r="J29" s="98"/>
      <c r="K29" s="99"/>
      <c r="L29" s="100">
        <f>L28*20%</f>
        <v>1683.6000000000001</v>
      </c>
      <c r="M29" s="735"/>
    </row>
    <row r="30" spans="2:13" ht="16.2" thickTop="1">
      <c r="B30" s="93"/>
      <c r="C30" s="101" t="s">
        <v>91</v>
      </c>
      <c r="D30" s="102"/>
      <c r="E30" s="102"/>
      <c r="F30" s="102"/>
      <c r="G30" s="102"/>
      <c r="H30" s="102"/>
      <c r="I30" s="103"/>
      <c r="J30" s="103"/>
      <c r="K30" s="104"/>
      <c r="L30" s="105">
        <f>SUM(L28:L29)</f>
        <v>10101.6</v>
      </c>
      <c r="M30" s="735"/>
    </row>
    <row r="31" spans="2:13" ht="16.2" thickBot="1">
      <c r="B31" s="93"/>
      <c r="C31" s="106" t="s">
        <v>92</v>
      </c>
      <c r="D31" s="50"/>
      <c r="E31" s="50"/>
      <c r="F31" s="439">
        <v>20</v>
      </c>
      <c r="G31" s="50" t="s">
        <v>93</v>
      </c>
      <c r="H31" s="50"/>
      <c r="I31" s="108"/>
      <c r="J31" s="108"/>
      <c r="K31" s="50"/>
      <c r="L31" s="109"/>
      <c r="M31" s="48"/>
    </row>
    <row r="32" spans="2:13" ht="16.2" thickTop="1">
      <c r="B32" s="93"/>
      <c r="C32" s="106"/>
      <c r="D32" s="50"/>
      <c r="E32" s="50"/>
      <c r="F32" s="107"/>
      <c r="G32" s="50"/>
      <c r="H32" s="50"/>
      <c r="I32" s="108"/>
      <c r="J32" s="108"/>
      <c r="K32" s="50"/>
      <c r="L32" s="320"/>
      <c r="M32" s="48"/>
    </row>
    <row r="33" spans="2:13" ht="15.6">
      <c r="B33" s="93"/>
      <c r="C33" s="106"/>
      <c r="D33" s="50"/>
      <c r="E33" s="50"/>
      <c r="F33" s="107"/>
      <c r="G33" s="50"/>
      <c r="H33" s="50"/>
      <c r="I33" s="108"/>
      <c r="J33" s="108"/>
      <c r="K33" s="50"/>
      <c r="L33" s="257"/>
      <c r="M33" s="48"/>
    </row>
    <row r="34" spans="2:13" ht="13.8">
      <c r="B34" s="93"/>
      <c r="C34" s="440" t="s">
        <v>259</v>
      </c>
      <c r="D34" s="436"/>
      <c r="E34" s="436" t="s">
        <v>254</v>
      </c>
      <c r="F34" s="441"/>
      <c r="G34" s="436"/>
      <c r="H34" s="51"/>
      <c r="I34" s="110"/>
      <c r="J34" s="110"/>
      <c r="K34" s="51"/>
      <c r="L34" s="308"/>
      <c r="M34" s="48"/>
    </row>
    <row r="35" spans="2:13" ht="13.8">
      <c r="B35" s="93"/>
      <c r="C35" s="440" t="s">
        <v>253</v>
      </c>
      <c r="D35" s="436"/>
      <c r="E35" s="436" t="str">
        <f>Information!C70</f>
        <v>Vienna</v>
      </c>
      <c r="F35" s="441"/>
      <c r="G35" s="436"/>
      <c r="H35" s="51"/>
      <c r="I35" s="110"/>
      <c r="J35" s="110"/>
      <c r="K35" s="51"/>
      <c r="L35" s="308"/>
      <c r="M35" s="48"/>
    </row>
    <row r="36" spans="2:13" ht="13.8">
      <c r="B36" s="93"/>
      <c r="C36" s="440" t="s">
        <v>20</v>
      </c>
      <c r="D36" s="442" t="str">
        <f>Information!C78</f>
        <v xml:space="preserve">AT 99 3920 0003 7345 023728 </v>
      </c>
      <c r="E36" s="436"/>
      <c r="F36" s="443" t="s">
        <v>21</v>
      </c>
      <c r="G36" s="442" t="str">
        <f>Information!C79</f>
        <v>SANTATWW</v>
      </c>
      <c r="H36" s="51"/>
      <c r="I36" s="306"/>
      <c r="J36" s="306"/>
      <c r="K36" s="51"/>
      <c r="L36" s="308"/>
      <c r="M36" s="48"/>
    </row>
    <row r="37" spans="2:13" ht="13.8">
      <c r="B37" s="93"/>
      <c r="C37" s="737"/>
      <c r="D37" s="737"/>
      <c r="E37" s="737"/>
      <c r="F37" s="111"/>
      <c r="G37" s="738"/>
      <c r="H37" s="738"/>
      <c r="I37" s="112"/>
      <c r="J37" s="112"/>
      <c r="K37" s="47"/>
      <c r="L37" s="47"/>
      <c r="M37" s="48"/>
    </row>
    <row r="38" spans="2:13">
      <c r="B38" s="113"/>
      <c r="C38" s="114"/>
      <c r="D38" s="114"/>
      <c r="E38" s="114"/>
      <c r="F38" s="114"/>
      <c r="G38" s="114"/>
      <c r="H38" s="114"/>
      <c r="I38" s="114"/>
      <c r="J38" s="114"/>
      <c r="K38" s="114"/>
      <c r="L38" s="114"/>
      <c r="M38" s="115"/>
    </row>
  </sheetData>
  <mergeCells count="4">
    <mergeCell ref="M19:M30"/>
    <mergeCell ref="B27:B28"/>
    <mergeCell ref="C37:E37"/>
    <mergeCell ref="G37:H37"/>
  </mergeCells>
  <pageMargins left="0.7" right="0.7" top="0.78740157499999996" bottom="0.78740157499999996" header="0.3" footer="0.3"/>
  <ignoredErrors>
    <ignoredError sqref="E34:E35" calculatedColumn="1"/>
  </ignoredErrors>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6FEF3-4D25-42A9-8F9F-03D37AD7EFCF}">
  <dimension ref="B2:R47"/>
  <sheetViews>
    <sheetView showGridLines="0" topLeftCell="A19" workbookViewId="0">
      <selection activeCell="N40" sqref="B4:N40"/>
    </sheetView>
  </sheetViews>
  <sheetFormatPr defaultColWidth="11.5546875" defaultRowHeight="13.2"/>
  <cols>
    <col min="2" max="2" width="4.44140625" customWidth="1"/>
    <col min="3" max="3" width="9.44140625" customWidth="1"/>
    <col min="4" max="4" width="14.6640625" customWidth="1"/>
    <col min="5" max="5" width="13.109375" customWidth="1"/>
    <col min="6" max="6" width="17.33203125" customWidth="1"/>
    <col min="7" max="7" width="9.6640625" customWidth="1"/>
    <col min="8" max="8" width="6.109375" customWidth="1"/>
    <col min="9" max="9" width="16.109375" customWidth="1"/>
    <col min="10" max="10" width="11.109375" customWidth="1"/>
    <col min="11" max="11" width="18.109375" customWidth="1"/>
    <col min="12" max="12" width="7.44140625" customWidth="1"/>
    <col min="13" max="13" width="20.109375" customWidth="1"/>
    <col min="14" max="14" width="4.33203125" customWidth="1"/>
  </cols>
  <sheetData>
    <row r="2" spans="2:18">
      <c r="B2" s="3" t="s">
        <v>141</v>
      </c>
      <c r="D2" s="3" t="s">
        <v>230</v>
      </c>
    </row>
    <row r="4" spans="2:18">
      <c r="B4" s="214"/>
      <c r="C4" s="215"/>
      <c r="D4" s="215"/>
      <c r="E4" s="215"/>
      <c r="F4" s="215"/>
      <c r="G4" s="215"/>
      <c r="H4" s="215"/>
      <c r="I4" s="215"/>
      <c r="J4" s="215"/>
      <c r="K4" s="215"/>
      <c r="L4" s="215"/>
      <c r="M4" s="215"/>
      <c r="N4" s="154"/>
    </row>
    <row r="5" spans="2:18" ht="44.4">
      <c r="B5" s="216"/>
      <c r="C5" s="46"/>
      <c r="D5" s="260" t="str">
        <f>Information!B81</f>
        <v>WIT Transport GmbH</v>
      </c>
      <c r="E5" s="261"/>
      <c r="F5" s="261"/>
      <c r="G5" s="261"/>
      <c r="H5" s="261"/>
      <c r="I5" s="261"/>
      <c r="J5" s="47"/>
      <c r="K5" s="47"/>
      <c r="L5" s="47"/>
      <c r="M5" s="47"/>
      <c r="N5" s="217"/>
    </row>
    <row r="6" spans="2:18">
      <c r="B6" s="216"/>
      <c r="C6" s="49"/>
      <c r="D6" s="47"/>
      <c r="E6" s="47"/>
      <c r="F6" s="47"/>
      <c r="G6" s="47"/>
      <c r="H6" s="47"/>
      <c r="I6" s="47"/>
      <c r="J6" s="47"/>
      <c r="K6" s="47"/>
      <c r="L6" s="47"/>
      <c r="M6" s="47"/>
      <c r="N6" s="217"/>
    </row>
    <row r="7" spans="2:18" ht="15">
      <c r="B7" s="216"/>
      <c r="C7" s="49"/>
      <c r="D7" s="47"/>
      <c r="E7" s="47"/>
      <c r="F7" s="218" t="str">
        <f>Information!B82</f>
        <v>Johnstr. 37</v>
      </c>
      <c r="G7" s="218">
        <f>Information!B83</f>
        <v>1130</v>
      </c>
      <c r="H7" s="218"/>
      <c r="I7" s="218" t="str">
        <f>Information!B84</f>
        <v>Austria</v>
      </c>
      <c r="J7" s="218"/>
      <c r="K7" s="218"/>
      <c r="L7" s="218"/>
      <c r="M7" s="47"/>
      <c r="N7" s="217"/>
    </row>
    <row r="8" spans="2:18" ht="15">
      <c r="B8" s="216"/>
      <c r="C8" s="49"/>
      <c r="D8" s="47"/>
      <c r="E8" s="47"/>
      <c r="F8" s="218" t="str">
        <f>Information!B85</f>
        <v>Tel.0043-1-4728868</v>
      </c>
      <c r="G8" s="218" t="str">
        <f>Information!B86</f>
        <v>Email. wittransport@aon.at</v>
      </c>
      <c r="H8" s="218"/>
      <c r="I8" s="218"/>
      <c r="J8" s="218"/>
      <c r="K8" s="218"/>
      <c r="L8" s="218"/>
      <c r="M8" s="47"/>
      <c r="N8" s="217"/>
    </row>
    <row r="9" spans="2:18" ht="15">
      <c r="B9" s="216"/>
      <c r="C9" s="2"/>
      <c r="D9" s="47"/>
      <c r="E9" s="47"/>
      <c r="F9" s="218" t="s">
        <v>210</v>
      </c>
      <c r="G9" s="218" t="str">
        <f>Information!D90</f>
        <v>ATU 82337289</v>
      </c>
      <c r="H9" s="218"/>
      <c r="I9" s="218" t="s">
        <v>146</v>
      </c>
      <c r="J9" s="218"/>
      <c r="K9" s="218" t="str">
        <f>Information!D89</f>
        <v>FN 73627 w</v>
      </c>
      <c r="L9" s="218"/>
      <c r="M9" s="47"/>
      <c r="N9" s="217"/>
    </row>
    <row r="10" spans="2:18">
      <c r="B10" s="216"/>
      <c r="C10" s="2"/>
      <c r="D10" s="47"/>
      <c r="E10" s="47"/>
      <c r="F10" s="219"/>
      <c r="G10" s="219"/>
      <c r="H10" s="219"/>
      <c r="I10" s="219"/>
      <c r="J10" s="219"/>
      <c r="K10" s="219"/>
      <c r="L10" s="219"/>
      <c r="M10" s="47"/>
      <c r="N10" s="217"/>
    </row>
    <row r="11" spans="2:18" ht="46.2">
      <c r="B11" s="216"/>
      <c r="C11" s="2"/>
      <c r="D11" s="47"/>
      <c r="E11" s="47"/>
      <c r="F11" s="219"/>
      <c r="G11" s="219"/>
      <c r="H11" s="219"/>
      <c r="I11" s="219"/>
      <c r="J11" s="219"/>
      <c r="K11" s="219"/>
      <c r="L11" s="219"/>
      <c r="M11" s="47"/>
      <c r="N11" s="217"/>
      <c r="R11" s="259"/>
    </row>
    <row r="12" spans="2:18" ht="17.399999999999999">
      <c r="B12" s="216"/>
      <c r="C12" s="220" t="s">
        <v>189</v>
      </c>
      <c r="D12" s="445"/>
      <c r="E12" s="445"/>
      <c r="F12" s="221">
        <v>281</v>
      </c>
      <c r="G12" s="220"/>
      <c r="H12" s="2"/>
      <c r="I12" s="2"/>
      <c r="J12" s="2"/>
      <c r="K12" s="2"/>
      <c r="L12" s="2"/>
      <c r="M12" s="2"/>
      <c r="N12" s="446"/>
    </row>
    <row r="13" spans="2:18">
      <c r="B13" s="216"/>
      <c r="C13" s="2"/>
      <c r="D13" s="2"/>
      <c r="E13" s="2"/>
      <c r="F13" s="2"/>
      <c r="G13" s="2"/>
      <c r="H13" s="2"/>
      <c r="I13" s="2"/>
      <c r="J13" s="2"/>
      <c r="K13" s="2"/>
      <c r="L13" s="2"/>
      <c r="M13" s="2"/>
      <c r="N13" s="446"/>
    </row>
    <row r="14" spans="2:18" ht="15.6">
      <c r="B14" s="216"/>
      <c r="C14" s="222" t="s">
        <v>66</v>
      </c>
      <c r="D14" s="420" t="str">
        <f>Information!B3</f>
        <v>Crann Toys GmbH</v>
      </c>
      <c r="E14" s="420"/>
      <c r="F14" s="420"/>
      <c r="G14" s="420"/>
      <c r="H14" s="55"/>
      <c r="I14" s="55"/>
      <c r="J14" s="55"/>
      <c r="K14" s="6"/>
      <c r="L14" s="6"/>
      <c r="M14" s="6"/>
      <c r="N14" s="446"/>
    </row>
    <row r="15" spans="2:18" ht="15">
      <c r="B15" s="216"/>
      <c r="C15" s="55"/>
      <c r="D15" s="420"/>
      <c r="E15" s="420"/>
      <c r="F15" s="420"/>
      <c r="G15" s="420"/>
      <c r="H15" s="55"/>
      <c r="I15" s="55"/>
      <c r="J15" s="55"/>
      <c r="K15" s="6"/>
      <c r="L15" s="6"/>
      <c r="M15" s="6"/>
      <c r="N15" s="446"/>
    </row>
    <row r="16" spans="2:18" ht="15">
      <c r="B16" s="216"/>
      <c r="C16" s="55"/>
      <c r="D16" s="420" t="str">
        <f>Information!B4</f>
        <v>Cottage St. 13</v>
      </c>
      <c r="E16" s="420"/>
      <c r="F16" s="420"/>
      <c r="G16" s="420"/>
      <c r="H16" s="55"/>
      <c r="I16" s="55"/>
      <c r="J16" s="55"/>
      <c r="K16" s="6"/>
      <c r="L16" s="6"/>
      <c r="M16" s="6"/>
      <c r="N16" s="446"/>
    </row>
    <row r="17" spans="2:14" ht="15.6">
      <c r="B17" s="216"/>
      <c r="C17" s="55"/>
      <c r="D17" s="420" t="str">
        <f>Information!B5</f>
        <v>3430 Tulln</v>
      </c>
      <c r="E17" s="420"/>
      <c r="F17" s="420"/>
      <c r="G17" s="420"/>
      <c r="H17" s="55"/>
      <c r="I17" s="222" t="s">
        <v>68</v>
      </c>
      <c r="J17" s="50"/>
      <c r="K17" s="6" t="str">
        <f>SalesInvoice!C9</f>
        <v>Gagnon AG</v>
      </c>
      <c r="L17" s="210" t="str">
        <f>SalesInvoice!C10</f>
        <v>Schauplatzgasse 72</v>
      </c>
      <c r="M17" s="9"/>
      <c r="N17" s="446"/>
    </row>
    <row r="18" spans="2:14" ht="15.6">
      <c r="B18" s="216"/>
      <c r="C18" s="55"/>
      <c r="D18" s="420"/>
      <c r="E18" s="420"/>
      <c r="F18" s="420"/>
      <c r="G18" s="420"/>
      <c r="H18" s="55"/>
      <c r="I18" s="222"/>
      <c r="J18" s="50"/>
      <c r="K18" s="6"/>
      <c r="L18" s="210">
        <f>SalesInvoice!C11</f>
        <v>3001</v>
      </c>
      <c r="M18" s="210" t="str">
        <f>SalesInvoice!D11</f>
        <v>Bern</v>
      </c>
      <c r="N18" s="446"/>
    </row>
    <row r="19" spans="2:14" ht="15.6">
      <c r="B19" s="216"/>
      <c r="C19" s="222" t="s">
        <v>2</v>
      </c>
      <c r="D19" s="55"/>
      <c r="E19" s="711">
        <f>SalesInvoice!L18</f>
        <v>44870</v>
      </c>
      <c r="F19" s="222" t="s">
        <v>69</v>
      </c>
      <c r="G19" s="425">
        <v>473374</v>
      </c>
      <c r="H19" s="55"/>
      <c r="I19" s="222" t="s">
        <v>70</v>
      </c>
      <c r="J19" s="50"/>
      <c r="K19" s="712">
        <f>E19</f>
        <v>44870</v>
      </c>
      <c r="L19" s="224"/>
      <c r="M19" s="447"/>
      <c r="N19" s="446"/>
    </row>
    <row r="20" spans="2:14" ht="15.6">
      <c r="B20" s="216"/>
      <c r="C20" s="222"/>
      <c r="D20" s="55"/>
      <c r="E20" s="447"/>
      <c r="F20" s="6"/>
      <c r="G20" s="425"/>
      <c r="H20" s="55"/>
      <c r="I20" s="222"/>
      <c r="J20" s="50"/>
      <c r="K20" s="224"/>
      <c r="L20" s="224"/>
      <c r="M20" s="447"/>
      <c r="N20" s="446"/>
    </row>
    <row r="21" spans="2:14" ht="15.6" thickBot="1">
      <c r="B21" s="216"/>
      <c r="C21" s="225"/>
      <c r="D21" s="225"/>
      <c r="E21" s="225"/>
      <c r="F21" s="225"/>
      <c r="G21" s="225"/>
      <c r="H21" s="225"/>
      <c r="I21" s="225"/>
      <c r="J21" s="225"/>
      <c r="K21" s="225"/>
      <c r="L21" s="225"/>
      <c r="M21" s="225"/>
      <c r="N21" s="446"/>
    </row>
    <row r="22" spans="2:14" s="192" customFormat="1" ht="36" customHeight="1">
      <c r="B22" s="271"/>
      <c r="C22" s="272" t="s">
        <v>81</v>
      </c>
      <c r="D22" s="273" t="s">
        <v>82</v>
      </c>
      <c r="E22" s="274"/>
      <c r="F22" s="273" t="s">
        <v>84</v>
      </c>
      <c r="G22" s="448"/>
      <c r="H22" s="449"/>
      <c r="I22" s="275" t="s">
        <v>228</v>
      </c>
      <c r="J22" s="276" t="s">
        <v>85</v>
      </c>
      <c r="K22" s="276" t="s">
        <v>86</v>
      </c>
      <c r="L22" s="276"/>
      <c r="M22" s="276" t="s">
        <v>87</v>
      </c>
      <c r="N22" s="450"/>
    </row>
    <row r="23" spans="2:14" ht="15">
      <c r="B23" s="4"/>
      <c r="C23" s="451">
        <v>1</v>
      </c>
      <c r="D23" s="452" t="str">
        <f>D14</f>
        <v>Crann Toys GmbH</v>
      </c>
      <c r="E23" s="453"/>
      <c r="F23" s="454" t="str">
        <f>SalesInvoice!E22</f>
        <v>garden hut</v>
      </c>
      <c r="G23" s="229"/>
      <c r="H23" s="230"/>
      <c r="I23" s="455">
        <v>28.4</v>
      </c>
      <c r="J23" s="456">
        <f>SalesInvoice!C22</f>
        <v>25</v>
      </c>
      <c r="K23" s="457"/>
      <c r="L23" s="457"/>
      <c r="M23" s="458">
        <f>I23*J23</f>
        <v>710</v>
      </c>
      <c r="N23" s="446"/>
    </row>
    <row r="24" spans="2:14" ht="15">
      <c r="B24" s="216"/>
      <c r="C24" s="459"/>
      <c r="D24" s="460" t="str">
        <f>D17</f>
        <v>3430 Tulln</v>
      </c>
      <c r="E24" s="461"/>
      <c r="F24" s="226"/>
      <c r="G24" s="231"/>
      <c r="H24" s="227"/>
      <c r="I24" s="462"/>
      <c r="J24" s="462"/>
      <c r="K24" s="463"/>
      <c r="L24" s="463"/>
      <c r="M24" s="463" t="str">
        <f t="shared" ref="M24:M27" si="0">IF(C24&gt;0,C24*J24," ")</f>
        <v xml:space="preserve"> </v>
      </c>
      <c r="N24" s="446"/>
    </row>
    <row r="25" spans="2:14" ht="15">
      <c r="B25" s="216"/>
      <c r="C25" s="451"/>
      <c r="D25" s="452" t="s">
        <v>190</v>
      </c>
      <c r="E25" s="453"/>
      <c r="F25" s="228"/>
      <c r="G25" s="229"/>
      <c r="H25" s="230"/>
      <c r="I25" s="464"/>
      <c r="J25" s="464"/>
      <c r="K25" s="458"/>
      <c r="L25" s="458"/>
      <c r="M25" s="458" t="str">
        <f t="shared" si="0"/>
        <v xml:space="preserve"> </v>
      </c>
      <c r="N25" s="446"/>
    </row>
    <row r="26" spans="2:14" ht="15">
      <c r="B26" s="216"/>
      <c r="C26" s="459"/>
      <c r="D26" s="460" t="str">
        <f>K17</f>
        <v>Gagnon AG</v>
      </c>
      <c r="E26" s="461"/>
      <c r="F26" s="226"/>
      <c r="G26" s="231"/>
      <c r="H26" s="227"/>
      <c r="I26" s="465"/>
      <c r="J26" s="465"/>
      <c r="K26" s="463"/>
      <c r="L26" s="463"/>
      <c r="M26" s="463" t="str">
        <f t="shared" si="0"/>
        <v xml:space="preserve"> </v>
      </c>
      <c r="N26" s="446"/>
    </row>
    <row r="27" spans="2:14" ht="15">
      <c r="B27" s="739" t="s">
        <v>88</v>
      </c>
      <c r="C27" s="466"/>
      <c r="D27" s="452" t="str">
        <f>SalesInvoice!H35</f>
        <v>Zürich</v>
      </c>
      <c r="E27" s="453"/>
      <c r="F27" s="228"/>
      <c r="G27" s="229"/>
      <c r="H27" s="230"/>
      <c r="I27" s="467"/>
      <c r="J27" s="467"/>
      <c r="K27" s="458"/>
      <c r="L27" s="458"/>
      <c r="M27" s="458" t="str">
        <f t="shared" si="0"/>
        <v xml:space="preserve"> </v>
      </c>
      <c r="N27" s="446"/>
    </row>
    <row r="28" spans="2:14" ht="15">
      <c r="B28" s="739"/>
      <c r="C28" s="468"/>
      <c r="D28" s="460"/>
      <c r="E28" s="461"/>
      <c r="F28" s="226"/>
      <c r="G28" s="231"/>
      <c r="H28" s="227"/>
      <c r="I28" s="469"/>
      <c r="J28" s="469"/>
      <c r="K28" s="463"/>
      <c r="L28" s="463"/>
      <c r="M28" s="463"/>
      <c r="N28" s="446"/>
    </row>
    <row r="29" spans="2:14" ht="15">
      <c r="B29" s="739"/>
      <c r="C29" s="466"/>
      <c r="D29" s="452"/>
      <c r="E29" s="470"/>
      <c r="F29" s="228"/>
      <c r="G29" s="229"/>
      <c r="H29" s="230"/>
      <c r="I29" s="467"/>
      <c r="J29" s="467"/>
      <c r="K29" s="458"/>
      <c r="L29" s="458"/>
      <c r="M29" s="458"/>
      <c r="N29" s="446"/>
    </row>
    <row r="30" spans="2:14" ht="15">
      <c r="B30" s="739"/>
      <c r="C30" s="468"/>
      <c r="D30" s="460"/>
      <c r="E30" s="471" t="s">
        <v>94</v>
      </c>
      <c r="F30" s="226" t="s">
        <v>229</v>
      </c>
      <c r="G30" s="231"/>
      <c r="H30" s="227"/>
      <c r="I30" s="469"/>
      <c r="J30" s="469"/>
      <c r="K30" s="463"/>
      <c r="L30" s="463"/>
      <c r="M30" s="463"/>
      <c r="N30" s="446"/>
    </row>
    <row r="31" spans="2:14" ht="15">
      <c r="B31" s="739"/>
      <c r="C31" s="466"/>
      <c r="D31" s="452"/>
      <c r="E31" s="470"/>
      <c r="F31" s="228"/>
      <c r="G31" s="229"/>
      <c r="H31" s="230"/>
      <c r="I31" s="467"/>
      <c r="J31" s="467"/>
      <c r="K31" s="458"/>
      <c r="L31" s="458"/>
      <c r="M31" s="458"/>
      <c r="N31" s="446"/>
    </row>
    <row r="32" spans="2:14" ht="15">
      <c r="B32" s="739"/>
      <c r="C32" s="468"/>
      <c r="D32" s="472" t="s">
        <v>89</v>
      </c>
      <c r="E32" s="227"/>
      <c r="F32" s="226"/>
      <c r="G32" s="231"/>
      <c r="H32" s="227"/>
      <c r="I32" s="469"/>
      <c r="J32" s="469"/>
      <c r="K32" s="463"/>
      <c r="L32" s="463"/>
      <c r="M32" s="463">
        <f>SUM(M23:M27)</f>
        <v>710</v>
      </c>
      <c r="N32" s="446"/>
    </row>
    <row r="33" spans="2:14" ht="16.2" thickBot="1">
      <c r="B33" s="232"/>
      <c r="C33" s="473" t="s">
        <v>191</v>
      </c>
      <c r="D33" s="474">
        <v>0</v>
      </c>
      <c r="E33" s="235" t="s">
        <v>192</v>
      </c>
      <c r="F33" s="233"/>
      <c r="G33" s="234"/>
      <c r="H33" s="235"/>
      <c r="I33" s="475"/>
      <c r="J33" s="475"/>
      <c r="K33" s="476"/>
      <c r="L33" s="476"/>
      <c r="M33" s="476">
        <f>M32*D33</f>
        <v>0</v>
      </c>
      <c r="N33" s="446"/>
    </row>
    <row r="34" spans="2:14" ht="15.6">
      <c r="B34" s="232"/>
      <c r="C34" s="236" t="s">
        <v>91</v>
      </c>
      <c r="D34" s="237"/>
      <c r="E34" s="237"/>
      <c r="F34" s="237"/>
      <c r="G34" s="237"/>
      <c r="H34" s="237"/>
      <c r="I34" s="238"/>
      <c r="J34" s="238"/>
      <c r="K34" s="239"/>
      <c r="L34" s="239"/>
      <c r="M34" s="477">
        <f>SUM(M32:M33)</f>
        <v>710</v>
      </c>
      <c r="N34" s="446"/>
    </row>
    <row r="35" spans="2:14" ht="16.2" thickBot="1">
      <c r="B35" s="232"/>
      <c r="C35" s="240"/>
      <c r="D35" s="218"/>
      <c r="E35" s="218"/>
      <c r="F35" s="478"/>
      <c r="G35" s="218"/>
      <c r="H35" s="218"/>
      <c r="I35" s="241"/>
      <c r="J35" s="241"/>
      <c r="K35" s="50"/>
      <c r="L35" s="50"/>
      <c r="M35" s="242"/>
      <c r="N35" s="446"/>
    </row>
    <row r="36" spans="2:14" ht="15.6">
      <c r="B36" s="232"/>
      <c r="C36" s="309" t="s">
        <v>259</v>
      </c>
      <c r="D36" s="310"/>
      <c r="E36" s="310" t="s">
        <v>254</v>
      </c>
      <c r="F36" s="479"/>
      <c r="G36" s="310"/>
      <c r="H36" s="310"/>
      <c r="I36" s="311"/>
      <c r="J36" s="243"/>
      <c r="K36" s="244"/>
      <c r="L36" s="244"/>
      <c r="M36" s="480"/>
      <c r="N36" s="446"/>
    </row>
    <row r="37" spans="2:14">
      <c r="B37" s="232"/>
      <c r="C37" s="312" t="s">
        <v>258</v>
      </c>
      <c r="D37" s="219"/>
      <c r="E37" s="317" t="str">
        <f>Information!C83</f>
        <v>Vienna</v>
      </c>
      <c r="F37" s="481"/>
      <c r="G37" s="219"/>
      <c r="H37" s="219"/>
      <c r="I37" s="245"/>
      <c r="J37" s="245"/>
      <c r="K37" s="51"/>
      <c r="L37" s="51"/>
      <c r="M37" s="482"/>
      <c r="N37" s="446"/>
    </row>
    <row r="38" spans="2:14">
      <c r="B38" s="232"/>
      <c r="C38" s="313" t="s">
        <v>20</v>
      </c>
      <c r="D38" s="314" t="str">
        <f>Information!C91</f>
        <v xml:space="preserve"> AT401965000237895219</v>
      </c>
      <c r="E38" s="313"/>
      <c r="F38" s="315" t="s">
        <v>194</v>
      </c>
      <c r="G38" s="314" t="str">
        <f>Information!C92</f>
        <v>ESBKATWW</v>
      </c>
      <c r="H38" s="246"/>
      <c r="I38" s="316"/>
      <c r="J38" s="247"/>
      <c r="K38" s="248"/>
      <c r="L38" s="248"/>
      <c r="M38" s="483"/>
      <c r="N38" s="446"/>
    </row>
    <row r="39" spans="2:14">
      <c r="B39" s="232"/>
      <c r="C39" s="740"/>
      <c r="D39" s="740"/>
      <c r="E39" s="740"/>
      <c r="F39" s="112"/>
      <c r="G39" s="741"/>
      <c r="H39" s="741"/>
      <c r="I39" s="112"/>
      <c r="J39" s="112"/>
      <c r="K39" s="2"/>
      <c r="L39" s="2"/>
      <c r="M39" s="2"/>
      <c r="N39" s="446"/>
    </row>
    <row r="40" spans="2:14">
      <c r="B40" s="249"/>
      <c r="C40" s="250"/>
      <c r="D40" s="250"/>
      <c r="E40" s="250"/>
      <c r="F40" s="250"/>
      <c r="G40" s="250"/>
      <c r="H40" s="250"/>
      <c r="I40" s="250"/>
      <c r="J40" s="250"/>
      <c r="K40" s="250"/>
      <c r="L40" s="250"/>
      <c r="M40" s="250"/>
      <c r="N40" s="157"/>
    </row>
    <row r="45" spans="2:14">
      <c r="C45" t="s">
        <v>196</v>
      </c>
    </row>
    <row r="46" spans="2:14">
      <c r="C46" t="s">
        <v>197</v>
      </c>
    </row>
    <row r="47" spans="2:14">
      <c r="C47" t="s">
        <v>198</v>
      </c>
    </row>
  </sheetData>
  <mergeCells count="3">
    <mergeCell ref="B27:B32"/>
    <mergeCell ref="C39:E39"/>
    <mergeCell ref="G39:H39"/>
  </mergeCells>
  <pageMargins left="0.7" right="0.7" top="0.78740157499999996" bottom="0.78740157499999996"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D830D-F2C8-415A-9055-7F7C30538283}">
  <dimension ref="B2:Q25"/>
  <sheetViews>
    <sheetView showGridLines="0" workbookViewId="0">
      <selection activeCell="O8" sqref="O8"/>
    </sheetView>
  </sheetViews>
  <sheetFormatPr defaultColWidth="11.5546875" defaultRowHeight="13.2"/>
  <cols>
    <col min="2" max="2" width="1.109375" customWidth="1"/>
    <col min="3" max="3" width="9.88671875" customWidth="1"/>
    <col min="4" max="4" width="7.109375" customWidth="1"/>
    <col min="5" max="5" width="20.33203125" customWidth="1"/>
    <col min="6" max="6" width="22.109375" customWidth="1"/>
    <col min="7" max="7" width="5.6640625" customWidth="1"/>
    <col min="8" max="8" width="13.6640625" customWidth="1"/>
    <col min="9" max="9" width="20.88671875" customWidth="1"/>
    <col min="10" max="10" width="10.5546875" customWidth="1"/>
    <col min="11" max="12" width="7" customWidth="1"/>
    <col min="13" max="13" width="10.44140625" customWidth="1"/>
    <col min="14" max="14" width="9" customWidth="1"/>
    <col min="15" max="15" width="20.33203125" bestFit="1" customWidth="1"/>
    <col min="16" max="16" width="1.88671875" customWidth="1"/>
    <col min="17" max="17" width="3.109375" customWidth="1"/>
  </cols>
  <sheetData>
    <row r="2" spans="2:17">
      <c r="C2" s="3" t="s">
        <v>359</v>
      </c>
    </row>
    <row r="3" spans="2:17" ht="13.8" thickBot="1"/>
    <row r="4" spans="2:17" ht="21">
      <c r="B4" s="138"/>
      <c r="C4" s="139"/>
      <c r="D4" s="139"/>
      <c r="E4" s="139"/>
      <c r="F4" s="650" t="s">
        <v>149</v>
      </c>
      <c r="G4" s="484"/>
      <c r="H4" s="140"/>
      <c r="I4" s="140"/>
      <c r="J4" s="140"/>
      <c r="K4" s="141"/>
      <c r="L4" s="651" t="s">
        <v>20</v>
      </c>
      <c r="M4" s="653" t="str">
        <f>Information!C19</f>
        <v>AT 99 3829 0003 7408 3921</v>
      </c>
      <c r="N4" s="140"/>
      <c r="O4" s="142"/>
      <c r="P4" s="139"/>
      <c r="Q4" s="143"/>
    </row>
    <row r="5" spans="2:17" ht="21">
      <c r="B5" s="144"/>
      <c r="C5" s="145"/>
      <c r="D5" s="145"/>
      <c r="E5" s="145"/>
      <c r="F5" s="624" t="s">
        <v>150</v>
      </c>
      <c r="G5" s="485"/>
      <c r="H5" s="145"/>
      <c r="I5" s="713">
        <f>Information!J2-52</f>
        <v>44874</v>
      </c>
      <c r="J5" s="286" t="s">
        <v>81</v>
      </c>
      <c r="K5" s="625">
        <v>3</v>
      </c>
      <c r="L5" s="652" t="s">
        <v>21</v>
      </c>
      <c r="M5" s="654" t="str">
        <f>Information!C20</f>
        <v>VIBKATWW</v>
      </c>
      <c r="N5" s="146"/>
      <c r="O5" s="146"/>
      <c r="P5" s="145"/>
      <c r="Q5" s="147"/>
    </row>
    <row r="6" spans="2:17" ht="17.399999999999999">
      <c r="B6" s="144"/>
      <c r="C6" s="148"/>
      <c r="D6" s="420" t="s">
        <v>151</v>
      </c>
      <c r="E6" s="269"/>
      <c r="F6" s="3"/>
      <c r="G6" s="3"/>
      <c r="H6" s="3"/>
      <c r="I6" s="3"/>
      <c r="J6" s="3"/>
      <c r="K6" s="3"/>
      <c r="L6" s="3"/>
      <c r="M6" s="626" t="s">
        <v>152</v>
      </c>
      <c r="N6" s="3"/>
      <c r="O6" s="295" t="s">
        <v>22</v>
      </c>
      <c r="P6" s="3"/>
      <c r="Q6" s="486"/>
    </row>
    <row r="7" spans="2:17">
      <c r="B7" s="144"/>
      <c r="C7" s="148"/>
      <c r="D7" s="149"/>
      <c r="E7" s="149"/>
      <c r="F7" s="148"/>
      <c r="G7" s="148"/>
      <c r="H7" s="148"/>
      <c r="I7" s="148"/>
      <c r="J7" s="148"/>
      <c r="K7" s="148"/>
      <c r="L7" s="148"/>
      <c r="M7" s="148"/>
      <c r="N7" s="148"/>
      <c r="O7" s="150"/>
      <c r="P7" s="148"/>
      <c r="Q7" s="147"/>
    </row>
    <row r="8" spans="2:17" ht="15" customHeight="1">
      <c r="B8" s="151"/>
      <c r="C8" s="627">
        <f>I5-6</f>
        <v>44868</v>
      </c>
      <c r="D8" s="628" t="str">
        <f>Information!B49</f>
        <v>István Molnár Kft.</v>
      </c>
      <c r="E8" s="628"/>
      <c r="F8" s="628" t="str">
        <f>'Payslip-outgoing-purchase'!E20</f>
        <v>Invoice number:</v>
      </c>
      <c r="G8" s="628">
        <f>'Payslip-outgoing-purchase'!F20</f>
        <v>78</v>
      </c>
      <c r="H8" s="629">
        <f>'PurchaseInvoice-correct'!C47</f>
        <v>0.03</v>
      </c>
      <c r="I8" s="628" t="s">
        <v>142</v>
      </c>
      <c r="J8" s="628"/>
      <c r="K8" s="628"/>
      <c r="L8" s="628"/>
      <c r="M8" s="630">
        <f>C8</f>
        <v>44868</v>
      </c>
      <c r="N8" s="631"/>
      <c r="O8" s="632">
        <f>-('PurchaseInvoice-correct'!L44-('PurchaseInvoice-correct'!L44*'PurchaseInvoice-correct'!C47))/'PurchaseInvoice-correct'!W24</f>
        <v>-114354.96819189393</v>
      </c>
      <c r="P8" s="633"/>
      <c r="Q8" s="491"/>
    </row>
    <row r="9" spans="2:17" ht="15" customHeight="1">
      <c r="B9" s="151"/>
      <c r="C9" s="627">
        <f>I5-6</f>
        <v>44868</v>
      </c>
      <c r="D9" s="631" t="s">
        <v>29</v>
      </c>
      <c r="E9" s="631"/>
      <c r="F9" s="628"/>
      <c r="G9" s="628"/>
      <c r="H9" s="628"/>
      <c r="I9" s="634"/>
      <c r="J9" s="628"/>
      <c r="K9" s="628"/>
      <c r="L9" s="628"/>
      <c r="M9" s="630">
        <f t="shared" ref="M9:M10" si="0">C9</f>
        <v>44868</v>
      </c>
      <c r="N9" s="631"/>
      <c r="O9" s="632">
        <f>-'PurchaseInvoice-correct'!V26</f>
        <v>-5.8</v>
      </c>
      <c r="P9" s="633"/>
      <c r="Q9" s="491"/>
    </row>
    <row r="10" spans="2:17" ht="15" customHeight="1">
      <c r="B10" s="151"/>
      <c r="C10" s="627">
        <f>I5-4</f>
        <v>44870</v>
      </c>
      <c r="D10" s="628" t="str">
        <f>Information!B68</f>
        <v>SPEEDY GmbH</v>
      </c>
      <c r="E10" s="628"/>
      <c r="F10" s="628" t="str">
        <f>'Transport CostsPur'!C11</f>
        <v xml:space="preserve">Invoice No: </v>
      </c>
      <c r="G10" s="628">
        <f>'Transport CostsPur'!E11</f>
        <v>168</v>
      </c>
      <c r="H10" s="635" t="s">
        <v>153</v>
      </c>
      <c r="I10" s="636">
        <f>'Transport CostsPur'!E17</f>
        <v>44863</v>
      </c>
      <c r="J10" s="637"/>
      <c r="K10" s="628"/>
      <c r="L10" s="628"/>
      <c r="M10" s="630">
        <f t="shared" si="0"/>
        <v>44870</v>
      </c>
      <c r="N10" s="631"/>
      <c r="O10" s="632">
        <f>-'Transport CostsPur'!L30</f>
        <v>-10101.6</v>
      </c>
      <c r="P10" s="633"/>
      <c r="Q10" s="491"/>
    </row>
    <row r="11" spans="2:17" ht="15" customHeight="1">
      <c r="B11" s="151"/>
      <c r="C11" s="627">
        <f>I5-3</f>
        <v>44871</v>
      </c>
      <c r="D11" s="628" t="str">
        <f>SalesInvoice!C9</f>
        <v>Gagnon AG</v>
      </c>
      <c r="E11" s="628"/>
      <c r="F11" s="628" t="str">
        <f>SalesInvoice!C18</f>
        <v>Invoice No.:</v>
      </c>
      <c r="G11" s="628">
        <f>SalesInvoice!F18</f>
        <v>28</v>
      </c>
      <c r="H11" s="638" t="str">
        <f>SalesInvoice!C33</f>
        <v>cash discount of</v>
      </c>
      <c r="I11" s="628"/>
      <c r="J11" s="639">
        <f>SalesInvoice!F33</f>
        <v>0.02</v>
      </c>
      <c r="K11" s="640"/>
      <c r="L11" s="628"/>
      <c r="M11" s="630">
        <f>C11</f>
        <v>44871</v>
      </c>
      <c r="N11" s="631"/>
      <c r="O11" s="632">
        <f>((SalesInvoice!L28-(SalesInvoice!L28*SalesInvoice!F33))/SalesInvoice!U23)-SalesInvoice!W25</f>
        <v>8449.9733296521263</v>
      </c>
      <c r="P11" s="633"/>
      <c r="Q11" s="491"/>
    </row>
    <row r="12" spans="2:17" ht="15" customHeight="1">
      <c r="B12" s="151"/>
      <c r="C12" s="627"/>
      <c r="D12" s="641"/>
      <c r="E12" s="642"/>
      <c r="F12" s="643" t="s">
        <v>358</v>
      </c>
      <c r="G12" s="643"/>
      <c r="H12" s="644">
        <f>SalesInvoice!W25</f>
        <v>5.3</v>
      </c>
      <c r="I12" s="628" t="s">
        <v>25</v>
      </c>
      <c r="J12" s="645">
        <f>SalesInvoice!U23</f>
        <v>1.0866</v>
      </c>
      <c r="K12" s="640"/>
      <c r="L12" s="628"/>
      <c r="M12" s="630"/>
      <c r="N12" s="631"/>
      <c r="O12" s="632"/>
      <c r="P12" s="633"/>
      <c r="Q12" s="491"/>
    </row>
    <row r="13" spans="2:17" ht="15" customHeight="1">
      <c r="B13" s="151"/>
      <c r="C13" s="627">
        <f>I5-1</f>
        <v>44873</v>
      </c>
      <c r="D13" s="628" t="str">
        <f>'Transport CostsSale'!D5</f>
        <v>WIT Transport GmbH</v>
      </c>
      <c r="E13" s="628"/>
      <c r="F13" s="628" t="str">
        <f>'Transport CostsSale'!C12</f>
        <v>Invoice Number:</v>
      </c>
      <c r="G13" s="628"/>
      <c r="H13" s="628"/>
      <c r="I13" s="628">
        <f>'Transport CostsSale'!F12</f>
        <v>281</v>
      </c>
      <c r="J13" s="628"/>
      <c r="K13" s="628"/>
      <c r="L13" s="628"/>
      <c r="M13" s="630">
        <f>C13</f>
        <v>44873</v>
      </c>
      <c r="N13" s="631"/>
      <c r="O13" s="632">
        <f>-'Transport CostsSale'!M34</f>
        <v>-710</v>
      </c>
      <c r="P13" s="633"/>
      <c r="Q13" s="491"/>
    </row>
    <row r="14" spans="2:17" ht="15" customHeight="1">
      <c r="B14" s="151"/>
      <c r="C14" s="487"/>
      <c r="D14" s="488"/>
      <c r="E14" s="488"/>
      <c r="F14" s="488"/>
      <c r="G14" s="488"/>
      <c r="H14" s="488"/>
      <c r="I14" s="488"/>
      <c r="J14" s="488"/>
      <c r="K14" s="488"/>
      <c r="L14" s="488"/>
      <c r="M14" s="489"/>
      <c r="N14" s="490"/>
      <c r="O14" s="493"/>
      <c r="P14" s="488"/>
      <c r="Q14" s="491"/>
    </row>
    <row r="15" spans="2:17" ht="15" customHeight="1">
      <c r="B15" s="151"/>
      <c r="C15" s="487"/>
      <c r="D15" s="488"/>
      <c r="E15" s="488"/>
      <c r="F15" s="488"/>
      <c r="G15" s="488"/>
      <c r="H15" s="488"/>
      <c r="I15" s="488"/>
      <c r="J15" s="488"/>
      <c r="K15" s="488"/>
      <c r="L15" s="488"/>
      <c r="M15" s="494"/>
      <c r="N15" s="646"/>
      <c r="O15" s="647" t="s">
        <v>154</v>
      </c>
      <c r="P15" s="648"/>
      <c r="Q15" s="153"/>
    </row>
    <row r="16" spans="2:17" ht="15" customHeight="1">
      <c r="B16" s="151"/>
      <c r="C16" s="496"/>
      <c r="D16" s="488"/>
      <c r="E16" s="488"/>
      <c r="F16" s="488"/>
      <c r="G16" s="488"/>
      <c r="H16" s="488"/>
      <c r="I16" s="488"/>
      <c r="J16" s="488"/>
      <c r="K16" s="488"/>
      <c r="L16" s="488"/>
      <c r="M16" s="495"/>
      <c r="N16" s="118"/>
      <c r="O16" s="649">
        <v>115365.25</v>
      </c>
      <c r="P16" s="155"/>
      <c r="Q16" s="153"/>
    </row>
    <row r="17" spans="2:17" ht="15" customHeight="1">
      <c r="B17" s="156"/>
      <c r="C17" s="638" t="str">
        <f>Information!B3</f>
        <v>Crann Toys GmbH</v>
      </c>
      <c r="D17" s="492"/>
      <c r="E17" s="492"/>
      <c r="F17" s="492"/>
      <c r="G17" s="492"/>
      <c r="H17" s="492"/>
      <c r="I17" s="492"/>
      <c r="J17" s="492"/>
      <c r="K17" s="492"/>
      <c r="L17" s="492"/>
      <c r="M17" s="152"/>
      <c r="N17" s="34"/>
      <c r="O17" s="295" t="s">
        <v>155</v>
      </c>
      <c r="Q17" s="153"/>
    </row>
    <row r="18" spans="2:17" ht="15" customHeight="1">
      <c r="B18" s="156"/>
      <c r="C18" s="638" t="str">
        <f>Information!B4</f>
        <v>Cottage St. 13</v>
      </c>
      <c r="D18" s="492"/>
      <c r="E18" s="492"/>
      <c r="F18" s="492"/>
      <c r="G18" s="492"/>
      <c r="H18" s="492"/>
      <c r="I18" s="492"/>
      <c r="J18" s="488"/>
      <c r="K18" s="488"/>
      <c r="L18" s="488"/>
      <c r="M18" s="152"/>
      <c r="O18" s="632">
        <f>O11</f>
        <v>8449.9733296521263</v>
      </c>
      <c r="Q18" s="153"/>
    </row>
    <row r="19" spans="2:17" ht="15" customHeight="1">
      <c r="B19" s="156"/>
      <c r="C19" s="638" t="str">
        <f>Information!B5</f>
        <v>3430 Tulln</v>
      </c>
      <c r="D19" s="492"/>
      <c r="E19" s="492"/>
      <c r="F19" s="492"/>
      <c r="G19" s="492"/>
      <c r="H19" s="492"/>
      <c r="I19" s="492"/>
      <c r="J19" s="488"/>
      <c r="K19" s="488"/>
      <c r="L19" s="488"/>
      <c r="M19" s="488"/>
      <c r="N19" s="34"/>
      <c r="O19" s="295" t="s">
        <v>156</v>
      </c>
      <c r="P19" s="3"/>
      <c r="Q19" s="153"/>
    </row>
    <row r="20" spans="2:17" ht="15" customHeight="1">
      <c r="B20" s="151"/>
      <c r="C20" s="34"/>
      <c r="D20" s="488"/>
      <c r="E20" s="488"/>
      <c r="F20" s="488"/>
      <c r="G20" s="488"/>
      <c r="H20" s="488"/>
      <c r="I20" s="488"/>
      <c r="J20" s="488"/>
      <c r="K20" s="488"/>
      <c r="L20" s="488"/>
      <c r="M20" s="152"/>
      <c r="O20" s="632">
        <f>SUM(O8:O10)+O13</f>
        <v>-125172.36819189394</v>
      </c>
      <c r="Q20" s="153"/>
    </row>
    <row r="21" spans="2:17" ht="15" customHeight="1">
      <c r="B21" s="151"/>
      <c r="C21" s="34"/>
      <c r="D21" s="488"/>
      <c r="E21" s="488"/>
      <c r="F21" s="488"/>
      <c r="G21" s="488"/>
      <c r="H21" s="488"/>
      <c r="I21" s="488"/>
      <c r="J21" s="488"/>
      <c r="K21" s="488"/>
      <c r="L21" s="488"/>
      <c r="M21" s="494"/>
      <c r="N21" s="646"/>
      <c r="O21" s="647" t="s">
        <v>157</v>
      </c>
      <c r="P21" s="154"/>
      <c r="Q21" s="153"/>
    </row>
    <row r="22" spans="2:17" ht="15" customHeight="1">
      <c r="B22" s="151"/>
      <c r="C22" s="34"/>
      <c r="D22" s="488"/>
      <c r="E22" s="488"/>
      <c r="F22" s="488"/>
      <c r="G22" s="488"/>
      <c r="H22" s="488"/>
      <c r="I22" s="488"/>
      <c r="J22" s="488"/>
      <c r="K22" s="488"/>
      <c r="L22" s="488"/>
      <c r="M22" s="495"/>
      <c r="N22" s="118"/>
      <c r="O22" s="649">
        <f>O16+O18+O20</f>
        <v>-1357.1448622418102</v>
      </c>
      <c r="P22" s="157"/>
      <c r="Q22" s="153"/>
    </row>
    <row r="23" spans="2:17" ht="15" customHeight="1">
      <c r="B23" s="151"/>
      <c r="D23" s="152"/>
      <c r="E23" s="152"/>
      <c r="F23" s="152"/>
      <c r="G23" s="152"/>
      <c r="H23" s="152"/>
      <c r="I23" s="152"/>
      <c r="J23" s="152"/>
      <c r="K23" s="152"/>
      <c r="L23" s="152"/>
      <c r="M23" s="152"/>
      <c r="O23" s="158"/>
      <c r="Q23" s="153"/>
    </row>
    <row r="24" spans="2:17" ht="15" customHeight="1">
      <c r="B24" s="151"/>
      <c r="F24" s="34" t="s">
        <v>299</v>
      </c>
      <c r="G24" s="3"/>
      <c r="H24" s="3"/>
      <c r="I24" s="3"/>
      <c r="J24" s="159"/>
      <c r="K24" s="159"/>
      <c r="L24" s="159"/>
      <c r="M24" s="159"/>
      <c r="N24" s="159"/>
      <c r="O24" s="159"/>
      <c r="P24" s="159"/>
      <c r="Q24" s="160"/>
    </row>
    <row r="25" spans="2:17" ht="15" customHeight="1" thickBot="1">
      <c r="B25" s="161"/>
      <c r="C25" s="162"/>
      <c r="D25" s="162"/>
      <c r="E25" s="162"/>
      <c r="F25" s="162"/>
      <c r="G25" s="162"/>
      <c r="H25" s="162"/>
      <c r="I25" s="162"/>
      <c r="J25" s="162"/>
      <c r="K25" s="162"/>
      <c r="L25" s="162"/>
      <c r="M25" s="162"/>
      <c r="N25" s="162"/>
      <c r="O25" s="162"/>
      <c r="P25" s="162"/>
      <c r="Q25" s="163"/>
    </row>
  </sheetData>
  <pageMargins left="0.7" right="0.7" top="0.78740157499999996" bottom="0.78740157499999996" header="0.3" footer="0.3"/>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6793B-FE0C-4513-84AA-2893C4BE5FB4}">
  <dimension ref="B5:R28"/>
  <sheetViews>
    <sheetView showGridLines="0" topLeftCell="A15" workbookViewId="0">
      <selection activeCell="N28" sqref="B6:N28"/>
    </sheetView>
  </sheetViews>
  <sheetFormatPr defaultColWidth="11.5546875" defaultRowHeight="13.2"/>
  <cols>
    <col min="2" max="2" width="2.109375" customWidth="1"/>
    <col min="3" max="3" width="3.33203125" customWidth="1"/>
    <col min="4" max="4" width="16.5546875" customWidth="1"/>
    <col min="5" max="5" width="13.33203125" customWidth="1"/>
    <col min="6" max="6" width="12.33203125" customWidth="1"/>
    <col min="7" max="7" width="9.88671875" customWidth="1"/>
    <col min="8" max="8" width="12.33203125" customWidth="1"/>
    <col min="9" max="9" width="14.44140625" customWidth="1"/>
    <col min="10" max="10" width="3.88671875" customWidth="1"/>
    <col min="11" max="11" width="12.109375" customWidth="1"/>
    <col min="12" max="12" width="16.109375" customWidth="1"/>
    <col min="13" max="13" width="16.44140625" customWidth="1"/>
    <col min="14" max="14" width="4.33203125" customWidth="1"/>
  </cols>
  <sheetData>
    <row r="5" spans="2:18" ht="13.8" thickBot="1"/>
    <row r="6" spans="2:18" ht="24.6">
      <c r="B6" s="123"/>
      <c r="C6" s="124"/>
      <c r="D6" s="124"/>
      <c r="E6" s="124"/>
      <c r="F6" s="124"/>
      <c r="G6" s="124"/>
      <c r="H6" s="124"/>
      <c r="I6" s="124"/>
      <c r="J6" s="124"/>
      <c r="K6" s="124"/>
      <c r="L6" s="124"/>
      <c r="M6" s="124"/>
      <c r="N6" s="125"/>
      <c r="R6" s="704"/>
    </row>
    <row r="7" spans="2:18" ht="32.4">
      <c r="B7" s="126"/>
      <c r="D7" s="705"/>
      <c r="E7" s="705"/>
      <c r="F7" s="705"/>
      <c r="G7" s="706"/>
      <c r="H7" s="705"/>
      <c r="M7" s="707" t="str">
        <f>Information!C106</f>
        <v>Burgi Swiss Bank</v>
      </c>
      <c r="N7" s="127"/>
    </row>
    <row r="8" spans="2:18">
      <c r="B8" s="126"/>
      <c r="N8" s="127"/>
    </row>
    <row r="9" spans="2:18">
      <c r="B9" s="126"/>
      <c r="N9" s="127"/>
    </row>
    <row r="10" spans="2:18" ht="21">
      <c r="B10" s="126"/>
      <c r="C10" s="128" t="s">
        <v>120</v>
      </c>
      <c r="E10" s="129" t="s">
        <v>220</v>
      </c>
      <c r="F10" s="129"/>
      <c r="H10" s="129"/>
      <c r="N10" s="127"/>
    </row>
    <row r="11" spans="2:18">
      <c r="B11" s="126"/>
      <c r="N11" s="127"/>
    </row>
    <row r="12" spans="2:18" ht="15">
      <c r="B12" s="126"/>
      <c r="D12" s="34" t="s">
        <v>215</v>
      </c>
      <c r="E12" s="34" t="s">
        <v>124</v>
      </c>
      <c r="F12" s="34"/>
      <c r="G12" s="34"/>
      <c r="H12" s="34" t="s">
        <v>20</v>
      </c>
      <c r="I12" s="34"/>
      <c r="J12" s="34"/>
      <c r="K12" s="34"/>
      <c r="L12" s="34" t="s">
        <v>125</v>
      </c>
      <c r="M12" s="34" t="s">
        <v>126</v>
      </c>
      <c r="N12" s="127"/>
    </row>
    <row r="13" spans="2:18" ht="15">
      <c r="B13" s="126"/>
      <c r="D13" s="34"/>
      <c r="E13" s="34" t="str">
        <f>Information!B3</f>
        <v>Crann Toys GmbH</v>
      </c>
      <c r="F13" s="34"/>
      <c r="G13" s="34"/>
      <c r="H13" s="34" t="str">
        <f>Information!C19</f>
        <v>AT 99 3829 0003 7408 3921</v>
      </c>
      <c r="I13" s="34"/>
      <c r="J13" s="34"/>
      <c r="K13" s="34"/>
      <c r="L13" s="684">
        <v>3280.4</v>
      </c>
      <c r="M13" s="684">
        <f>L13-348</f>
        <v>2932.4</v>
      </c>
      <c r="N13" s="130"/>
    </row>
    <row r="14" spans="2:18">
      <c r="B14" s="126"/>
      <c r="N14" s="127"/>
    </row>
    <row r="15" spans="2:18" ht="18">
      <c r="B15" s="126"/>
      <c r="C15" s="129" t="s">
        <v>128</v>
      </c>
      <c r="D15" s="129"/>
      <c r="N15" s="127"/>
    </row>
    <row r="16" spans="2:18">
      <c r="B16" s="126"/>
      <c r="N16" s="127"/>
    </row>
    <row r="17" spans="2:14" ht="15">
      <c r="B17" s="126"/>
      <c r="D17" s="34" t="s">
        <v>216</v>
      </c>
      <c r="E17" s="34" t="str">
        <f>SalesInvoice!C9</f>
        <v>Gagnon AG</v>
      </c>
      <c r="F17" s="34">
        <f>SalesInvoice!C11</f>
        <v>3001</v>
      </c>
      <c r="G17" s="34" t="str">
        <f>SalesInvoice!C12</f>
        <v>Switzerland</v>
      </c>
      <c r="H17" s="34"/>
      <c r="I17" s="34"/>
      <c r="J17" s="34"/>
      <c r="K17" s="34"/>
      <c r="L17" s="34"/>
      <c r="M17" s="34"/>
      <c r="N17" s="127"/>
    </row>
    <row r="18" spans="2:14" ht="15">
      <c r="B18" s="126"/>
      <c r="D18" s="34" t="s">
        <v>217</v>
      </c>
      <c r="E18" s="34" t="str">
        <f>Information!C107</f>
        <v xml:space="preserve">CH93 0076 2035 6472 2882 7 </v>
      </c>
      <c r="F18" s="34"/>
      <c r="G18" s="34"/>
      <c r="H18" s="34"/>
      <c r="I18" s="34" t="s">
        <v>218</v>
      </c>
      <c r="J18" s="34"/>
      <c r="K18" s="34"/>
      <c r="L18" s="34" t="str">
        <f>Information!C108</f>
        <v>CRESCHZZXXX</v>
      </c>
      <c r="M18" s="34"/>
      <c r="N18" s="127"/>
    </row>
    <row r="19" spans="2:14" ht="15">
      <c r="B19" s="126"/>
      <c r="D19" s="34" t="s">
        <v>132</v>
      </c>
      <c r="E19" s="285">
        <f>SalesInvoice!L28-(SalesInvoice!L28*SalesInvoice!F33)</f>
        <v>9187.5</v>
      </c>
      <c r="F19" s="285"/>
      <c r="G19" s="34"/>
      <c r="H19" s="34"/>
      <c r="I19" s="34" t="s">
        <v>133</v>
      </c>
      <c r="J19" s="34"/>
      <c r="K19" s="34"/>
      <c r="L19" s="34" t="str">
        <f>SalesInvoice!Q9</f>
        <v>CHF</v>
      </c>
      <c r="M19" s="34"/>
      <c r="N19" s="127"/>
    </row>
    <row r="20" spans="2:14" ht="15">
      <c r="B20" s="126"/>
      <c r="D20" s="34" t="s">
        <v>134</v>
      </c>
      <c r="E20" s="674" t="s">
        <v>221</v>
      </c>
      <c r="F20" s="676"/>
      <c r="G20" s="675">
        <f>SalesInvoice!F18</f>
        <v>28</v>
      </c>
      <c r="H20" s="676"/>
      <c r="I20" s="676"/>
      <c r="J20" s="676"/>
      <c r="K20" s="676"/>
      <c r="L20" s="676"/>
      <c r="M20" s="677"/>
      <c r="N20" s="127"/>
    </row>
    <row r="21" spans="2:14" ht="15">
      <c r="B21" s="126"/>
      <c r="D21" s="34"/>
      <c r="E21" s="685" t="str">
        <f>L19</f>
        <v>CHF</v>
      </c>
      <c r="F21" s="686">
        <f>SalesInvoice!L28</f>
        <v>9375</v>
      </c>
      <c r="G21" s="687" t="s">
        <v>201</v>
      </c>
      <c r="H21" s="688">
        <f>SalesInvoice!F33</f>
        <v>0.02</v>
      </c>
      <c r="I21" s="689" t="str">
        <f>IF(H21&gt;0,"cash discount","")</f>
        <v>cash discount</v>
      </c>
      <c r="J21" s="296" t="s">
        <v>46</v>
      </c>
      <c r="K21" s="690" t="str">
        <f>E21</f>
        <v>CHF</v>
      </c>
      <c r="L21" s="691">
        <f>F21-(F21*H21)</f>
        <v>9187.5</v>
      </c>
      <c r="M21" s="679"/>
      <c r="N21" s="127"/>
    </row>
    <row r="22" spans="2:14" ht="15.6">
      <c r="B22" s="126"/>
      <c r="D22" s="34"/>
      <c r="E22" s="692"/>
      <c r="F22" s="295"/>
      <c r="G22" s="693"/>
      <c r="H22" s="666"/>
      <c r="I22" s="420"/>
      <c r="J22" s="694"/>
      <c r="K22" s="694"/>
      <c r="L22" s="695"/>
      <c r="M22" s="679"/>
      <c r="N22" s="127"/>
    </row>
    <row r="23" spans="2:14" ht="15">
      <c r="B23" s="126"/>
      <c r="D23" s="34"/>
      <c r="E23" s="696"/>
      <c r="F23" s="695"/>
      <c r="G23" s="420"/>
      <c r="H23" s="34"/>
      <c r="I23" s="34"/>
      <c r="J23" s="296"/>
      <c r="K23" s="296"/>
      <c r="L23" s="695"/>
      <c r="M23" s="679"/>
      <c r="N23" s="127"/>
    </row>
    <row r="24" spans="2:14" ht="15">
      <c r="B24" s="126"/>
      <c r="D24" s="34"/>
      <c r="E24" s="678"/>
      <c r="F24" s="34"/>
      <c r="G24" s="420"/>
      <c r="H24" s="34"/>
      <c r="I24" s="34"/>
      <c r="J24" s="296"/>
      <c r="K24" s="296"/>
      <c r="L24" s="695"/>
      <c r="M24" s="679"/>
      <c r="N24" s="127"/>
    </row>
    <row r="25" spans="2:14" ht="15">
      <c r="B25" s="126"/>
      <c r="D25" s="34"/>
      <c r="E25" s="680"/>
      <c r="F25" s="682"/>
      <c r="G25" s="681"/>
      <c r="H25" s="682"/>
      <c r="I25" s="682"/>
      <c r="J25" s="682"/>
      <c r="K25" s="682"/>
      <c r="L25" s="682"/>
      <c r="M25" s="683"/>
      <c r="N25" s="127"/>
    </row>
    <row r="26" spans="2:14" ht="15">
      <c r="B26" s="126"/>
      <c r="D26" s="34" t="s">
        <v>135</v>
      </c>
      <c r="E26" s="714">
        <f>'Bank Statement-noInfo'!C11</f>
        <v>44871</v>
      </c>
      <c r="F26" s="548"/>
      <c r="G26" s="34"/>
      <c r="H26" s="34" t="s">
        <v>219</v>
      </c>
      <c r="I26" s="714">
        <f>E26</f>
        <v>44871</v>
      </c>
      <c r="J26" s="548"/>
      <c r="K26" s="548"/>
      <c r="L26" s="34"/>
      <c r="M26" s="34"/>
      <c r="N26" s="127"/>
    </row>
    <row r="27" spans="2:14" ht="15">
      <c r="B27" s="126"/>
      <c r="D27" s="34" t="s">
        <v>136</v>
      </c>
      <c r="E27" s="34" t="str">
        <f>E17</f>
        <v>Gagnon AG</v>
      </c>
      <c r="F27" s="34"/>
      <c r="G27" s="34"/>
      <c r="H27" s="34"/>
      <c r="I27" s="34"/>
      <c r="J27" s="34"/>
      <c r="K27" s="34"/>
      <c r="L27" s="34"/>
      <c r="M27" s="34"/>
      <c r="N27" s="127"/>
    </row>
    <row r="28" spans="2:14" ht="13.8" thickBot="1">
      <c r="B28" s="132"/>
      <c r="C28" s="133"/>
      <c r="D28" s="133"/>
      <c r="E28" s="133"/>
      <c r="F28" s="133"/>
      <c r="G28" s="133"/>
      <c r="H28" s="133"/>
      <c r="I28" s="133"/>
      <c r="J28" s="133"/>
      <c r="K28" s="133"/>
      <c r="L28" s="133"/>
      <c r="M28" s="133"/>
      <c r="N28" s="134"/>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Information</vt:lpstr>
      <vt:lpstr>Order</vt:lpstr>
      <vt:lpstr>PurInv-NOVATNoCustQuantWrong </vt:lpstr>
      <vt:lpstr>PurchaseInvoice-correct</vt:lpstr>
      <vt:lpstr>SalesInvoice</vt:lpstr>
      <vt:lpstr>Transport CostsPur</vt:lpstr>
      <vt:lpstr>Transport CostsSale</vt:lpstr>
      <vt:lpstr>Bank Statement-noInfo</vt:lpstr>
      <vt:lpstr>Payslip-incoming</vt:lpstr>
      <vt:lpstr>Payslip-outgoing-purchase</vt:lpstr>
      <vt:lpstr>Payslip-outgoing-transportSALE</vt:lpstr>
      <vt:lpstr>Payslip-outgoing-transportPUR</vt:lpstr>
      <vt:lpstr>Solution</vt:lpstr>
      <vt:lpstr>'PurchaseInvoice-correct'!Print_Area</vt:lpstr>
      <vt:lpstr>'PurInv-NOVATNoCustQuantWrong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M. Kombacher</dc:creator>
  <cp:lastModifiedBy>maire</cp:lastModifiedBy>
  <cp:lastPrinted>2011-04-11T17:02:46Z</cp:lastPrinted>
  <dcterms:created xsi:type="dcterms:W3CDTF">2001-04-13T07:25:29Z</dcterms:created>
  <dcterms:modified xsi:type="dcterms:W3CDTF">2023-08-17T14:41:52Z</dcterms:modified>
</cp:coreProperties>
</file>